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 showInkAnnotation="0"/>
  <xr:revisionPtr xr6:coauthVersionLast="47" xr6:coauthVersionMax="47" documentId="13_ncr:1_{D16FFF23-124E-41C8-90FD-82C15A8ED1D7}" revIDLastSave="0" xr10:uidLastSave="{00000000-0000-0000-0000-000000000000}"/>
  <workbookProtection lockStructure="1" workbookAlgorithmName="SHA-512" workbookHashValue="/1C9hShMYmg4X1X12i3xS1gH1/7stmoozeob3RYIVbljasNsa+YBvkhTUTtHtlCID9y+vi2ftk6EdKjju1S34Q==" workbookSaltValue="Y9WLVYT8Wm8bUN8WG8867Q==" workbookSpinCount="100000"/>
  <bookViews>
    <workbookView xr2:uid="{00000000-000D-0000-FFFF-FFFF00000000}" windowHeight="11160" windowWidth="20730" xWindow="-120" yWindow="-120"/>
  </bookViews>
  <sheets>
    <sheet r:id="rId1" name="試算シート" sheetId="1"/>
    <sheet r:id="rId2" name="所得計算" sheetId="4" state="hidden"/>
    <sheet r:id="rId3" name="保険料計算" sheetId="5" state="hidden"/>
    <sheet r:id="rId4" name="料率入力欄" sheetId="3" state="hidden"/>
  </sheets>
  <definedNames>
    <definedName localSheetId="0" name="_xlnm.Print_Area">試算シート!$A$1:$L$82</definedName>
    <definedName localSheetId="1" name="_xlnm.Print_Area">所得計算!$A$1:$P$19</definedName>
    <definedName localSheetId="2" name="_xlnm.Print_Area">保険料計算!$A$1:$N$38</definedName>
    <definedName localSheetId="3" name="_xlnm.Print_Area">料率入力欄!$A$1:$M$17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5" l="1"/>
  <c r="B33" i="5"/>
  <c r="B34" i="5"/>
  <c r="B35" i="5"/>
  <c r="B36" i="5"/>
  <c r="B4" i="4"/>
  <c r="B5" i="4"/>
  <c r="B6" i="4"/>
  <c r="B7" i="4"/>
  <c r="B8" i="4"/>
  <c r="B3" i="4"/>
  <c r="L5" i="3"/>
  <c r="E6" i="3"/>
  <c r="P14" i="3"/>
  <c r="P13" i="3"/>
  <c r="P12" i="3"/>
  <c r="K12" i="3"/>
  <c r="K13" i="3"/>
  <c r="K14" i="3"/>
  <c r="N12" i="4"/>
  <c r="D4" i="4"/>
  <c r="D5" i="4"/>
  <c r="D6" i="4"/>
  <c r="D7" i="4"/>
  <c r="D8" i="4"/>
  <c r="D3" i="4"/>
  <c r="C8" i="4"/>
  <c r="C7" i="4"/>
  <c r="C6" i="4"/>
  <c r="C5" i="4"/>
  <c r="C4" i="4"/>
  <c r="C3" i="4"/>
  <c r="J62" i="1"/>
  <c r="K11" i="3"/>
  <c r="K10" i="3"/>
  <c r="K9" i="3"/>
  <c r="K8" i="3"/>
  <c r="K5" i="3"/>
  <c r="K7" i="3"/>
  <c r="K6" i="3"/>
  <c r="K4" i="3"/>
  <c r="K3" i="3"/>
  <c r="E7" i="3" l="1"/>
  <c r="M8" i="3"/>
  <c r="M7" i="3"/>
  <c r="M6" i="3"/>
  <c r="M5" i="3"/>
  <c r="M4" i="3"/>
  <c r="M3" i="3"/>
  <c r="L8" i="3" l="1"/>
  <c r="L6" i="3"/>
  <c r="L7" i="3"/>
  <c r="L3" i="3"/>
  <c r="L4" i="3"/>
  <c r="C2" i="5"/>
  <c r="O17" i="4" l="1"/>
  <c r="B26" i="5"/>
  <c r="B25" i="5"/>
  <c r="B18" i="5"/>
  <c r="B10" i="5"/>
  <c r="E4" i="4" l="1"/>
  <c r="E5" i="4"/>
  <c r="E6" i="4"/>
  <c r="E7" i="4"/>
  <c r="E8" i="4"/>
  <c r="E3" i="4"/>
  <c r="K13" i="4" l="1"/>
  <c r="K14" i="4"/>
  <c r="K15" i="4"/>
  <c r="K16" i="4"/>
  <c r="K17" i="4"/>
  <c r="K12" i="4"/>
  <c r="F13" i="4"/>
  <c r="F14" i="4"/>
  <c r="F15" i="4"/>
  <c r="F16" i="4"/>
  <c r="F17" i="4"/>
  <c r="F12" i="4"/>
  <c r="H62" i="1" l="1"/>
  <c r="F62" i="1"/>
  <c r="D62" i="1"/>
  <c r="N13" i="4" l="1"/>
  <c r="N14" i="4"/>
  <c r="N15" i="4"/>
  <c r="N16" i="4"/>
  <c r="N17" i="4"/>
  <c r="B2" i="5"/>
  <c r="G13" i="4" l="1"/>
  <c r="G14" i="4"/>
  <c r="G15" i="4"/>
  <c r="G16" i="4"/>
  <c r="G17" i="4"/>
  <c r="G12" i="4"/>
  <c r="H13" i="4"/>
  <c r="H14" i="4"/>
  <c r="H15" i="4"/>
  <c r="H16" i="4"/>
  <c r="H17" i="4"/>
  <c r="H12" i="4"/>
  <c r="I13" i="4"/>
  <c r="I14" i="4"/>
  <c r="I15" i="4"/>
  <c r="I16" i="4"/>
  <c r="I17" i="4"/>
  <c r="I12" i="4"/>
  <c r="J13" i="4" l="1"/>
  <c r="J14" i="4"/>
  <c r="J15" i="4"/>
  <c r="J16" i="4"/>
  <c r="J17" i="4"/>
  <c r="J12" i="4"/>
  <c r="E13" i="4"/>
  <c r="E14" i="4"/>
  <c r="E15" i="4"/>
  <c r="E16" i="4"/>
  <c r="E17" i="4"/>
  <c r="E12" i="4"/>
  <c r="B12" i="4"/>
  <c r="D13" i="4"/>
  <c r="D14" i="4"/>
  <c r="D15" i="4"/>
  <c r="D16" i="4"/>
  <c r="D17" i="4"/>
  <c r="C13" i="4"/>
  <c r="C14" i="4"/>
  <c r="C15" i="4"/>
  <c r="C16" i="4"/>
  <c r="C17" i="4"/>
  <c r="D12" i="4"/>
  <c r="C12" i="4"/>
  <c r="B13" i="4"/>
  <c r="B14" i="4"/>
  <c r="B15" i="4"/>
  <c r="B16" i="4"/>
  <c r="B17" i="4"/>
  <c r="L16" i="4" l="1"/>
  <c r="L17" i="4"/>
  <c r="L15" i="4"/>
  <c r="L14" i="4"/>
  <c r="H27" i="1" s="1"/>
  <c r="L13" i="4"/>
  <c r="H26" i="1" s="1"/>
  <c r="L12" i="4"/>
  <c r="F4" i="4"/>
  <c r="F5" i="4"/>
  <c r="F6" i="4"/>
  <c r="F7" i="4"/>
  <c r="F8" i="4"/>
  <c r="F3" i="4"/>
  <c r="G3" i="4" s="1"/>
  <c r="H28" i="1" l="1"/>
  <c r="H30" i="1"/>
  <c r="H29" i="1"/>
  <c r="H25" i="1"/>
  <c r="G4" i="4" l="1"/>
  <c r="H4" i="4" s="1"/>
  <c r="O13" i="4" s="1"/>
  <c r="G6" i="4"/>
  <c r="H6" i="4" s="1"/>
  <c r="O15" i="4" s="1"/>
  <c r="G5" i="4"/>
  <c r="H5" i="4" s="1"/>
  <c r="O14" i="4" s="1"/>
  <c r="G8" i="4"/>
  <c r="H8" i="4" s="1"/>
  <c r="G7" i="4"/>
  <c r="H7" i="4" s="1"/>
  <c r="O16" i="4" s="1"/>
  <c r="F30" i="1" l="1"/>
  <c r="F27" i="1"/>
  <c r="J27" i="1" s="1"/>
  <c r="F29" i="1"/>
  <c r="F28" i="1"/>
  <c r="F26" i="1"/>
  <c r="J26" i="1" s="1"/>
  <c r="H3" i="4"/>
  <c r="F25" i="1" s="1"/>
  <c r="J25" i="1" s="1"/>
  <c r="K25" i="1" s="1"/>
  <c r="B31" i="5" s="1"/>
  <c r="O12" i="4" l="1"/>
  <c r="K27" i="1"/>
  <c r="J29" i="1"/>
  <c r="K29" i="1" s="1"/>
  <c r="K30" i="1"/>
  <c r="J30" i="1"/>
  <c r="J28" i="1"/>
  <c r="K26" i="1"/>
  <c r="B17" i="5" l="1"/>
  <c r="B9" i="5"/>
  <c r="B23" i="5"/>
  <c r="B15" i="5"/>
  <c r="B7" i="5"/>
  <c r="B22" i="5"/>
  <c r="B6" i="5"/>
  <c r="B14" i="5"/>
  <c r="K28" i="1"/>
  <c r="B24" i="5" s="1"/>
  <c r="O18" i="4"/>
  <c r="B5" i="5" l="1"/>
  <c r="J44" i="1"/>
  <c r="B21" i="5"/>
  <c r="H44" i="1" s="1"/>
  <c r="D2" i="5"/>
  <c r="B16" i="5"/>
  <c r="B8" i="5"/>
  <c r="B13" i="5"/>
  <c r="E2" i="5" l="1"/>
  <c r="F2" i="5" s="1"/>
  <c r="D32" i="5"/>
  <c r="D35" i="5"/>
  <c r="D33" i="5"/>
  <c r="D36" i="5"/>
  <c r="D34" i="5"/>
  <c r="D31" i="5"/>
  <c r="H36" i="5"/>
  <c r="H32" i="5"/>
  <c r="H35" i="5"/>
  <c r="H31" i="5"/>
  <c r="H33" i="5"/>
  <c r="H34" i="5"/>
  <c r="H25" i="5"/>
  <c r="D44" i="1"/>
  <c r="D8" i="5"/>
  <c r="D14" i="5"/>
  <c r="D21" i="5"/>
  <c r="H10" i="5"/>
  <c r="D17" i="5"/>
  <c r="D23" i="5"/>
  <c r="H16" i="5"/>
  <c r="H8" i="5"/>
  <c r="D6" i="5"/>
  <c r="D9" i="5"/>
  <c r="D13" i="5"/>
  <c r="D25" i="5"/>
  <c r="L13" i="5"/>
  <c r="H17" i="5"/>
  <c r="H15" i="5"/>
  <c r="H9" i="5"/>
  <c r="H22" i="5"/>
  <c r="D7" i="5"/>
  <c r="D10" i="5"/>
  <c r="D5" i="5"/>
  <c r="D18" i="5"/>
  <c r="D16" i="5"/>
  <c r="D15" i="5"/>
  <c r="D26" i="5"/>
  <c r="D24" i="5"/>
  <c r="D22" i="5"/>
  <c r="L5" i="5"/>
  <c r="H14" i="5"/>
  <c r="H7" i="5"/>
  <c r="H6" i="5"/>
  <c r="H5" i="5"/>
  <c r="H13" i="5"/>
  <c r="H18" i="5"/>
  <c r="H21" i="5"/>
  <c r="H23" i="5"/>
  <c r="H24" i="5"/>
  <c r="H26" i="5"/>
  <c r="F44" i="1"/>
  <c r="I26" i="5" l="1"/>
  <c r="E32" i="5"/>
  <c r="E35" i="5"/>
  <c r="E36" i="5"/>
  <c r="E31" i="5"/>
  <c r="E34" i="5"/>
  <c r="E33" i="5"/>
  <c r="I34" i="5"/>
  <c r="I36" i="5"/>
  <c r="I35" i="5"/>
  <c r="I31" i="5"/>
  <c r="I32" i="5"/>
  <c r="I33" i="5"/>
  <c r="H38" i="5"/>
  <c r="I21" i="5"/>
  <c r="H28" i="5"/>
  <c r="I25" i="5"/>
  <c r="E7" i="5"/>
  <c r="E8" i="5"/>
  <c r="E6" i="5"/>
  <c r="E24" i="5"/>
  <c r="M13" i="5"/>
  <c r="E25" i="5"/>
  <c r="I13" i="5"/>
  <c r="E10" i="5"/>
  <c r="I18" i="5"/>
  <c r="E13" i="5"/>
  <c r="I7" i="5"/>
  <c r="E18" i="5"/>
  <c r="I9" i="5"/>
  <c r="E26" i="5"/>
  <c r="I15" i="5"/>
  <c r="I8" i="5"/>
  <c r="E17" i="5"/>
  <c r="E23" i="5"/>
  <c r="E15" i="5"/>
  <c r="E22" i="5"/>
  <c r="I17" i="5"/>
  <c r="I6" i="5"/>
  <c r="I14" i="5"/>
  <c r="E9" i="5"/>
  <c r="E16" i="5"/>
  <c r="M5" i="5"/>
  <c r="I10" i="5"/>
  <c r="I23" i="5"/>
  <c r="I5" i="5"/>
  <c r="E5" i="5"/>
  <c r="E14" i="5"/>
  <c r="E21" i="5"/>
  <c r="I16" i="5"/>
  <c r="I24" i="5"/>
  <c r="I22" i="5"/>
  <c r="C24" i="5" l="1"/>
  <c r="F34" i="5"/>
  <c r="F32" i="5"/>
  <c r="F35" i="5"/>
  <c r="F31" i="5"/>
  <c r="F33" i="5"/>
  <c r="F36" i="5"/>
  <c r="C35" i="5"/>
  <c r="C34" i="5"/>
  <c r="C31" i="5"/>
  <c r="C36" i="5"/>
  <c r="C32" i="5"/>
  <c r="C33" i="5"/>
  <c r="G9" i="5"/>
  <c r="J13" i="5"/>
  <c r="C22" i="5"/>
  <c r="C9" i="5"/>
  <c r="J18" i="5"/>
  <c r="G34" i="5"/>
  <c r="F5" i="5"/>
  <c r="J16" i="5"/>
  <c r="G23" i="5"/>
  <c r="G10" i="5"/>
  <c r="J14" i="5"/>
  <c r="G25" i="5"/>
  <c r="C16" i="5"/>
  <c r="K5" i="5"/>
  <c r="F9" i="5"/>
  <c r="G14" i="5"/>
  <c r="J7" i="5"/>
  <c r="F25" i="5"/>
  <c r="G22" i="5"/>
  <c r="J26" i="5"/>
  <c r="G24" i="5"/>
  <c r="C5" i="5"/>
  <c r="J15" i="5"/>
  <c r="G8" i="5"/>
  <c r="J25" i="5"/>
  <c r="C10" i="5"/>
  <c r="N13" i="5"/>
  <c r="G13" i="5"/>
  <c r="J6" i="5"/>
  <c r="F24" i="5"/>
  <c r="G21" i="5"/>
  <c r="J21" i="5"/>
  <c r="F10" i="5"/>
  <c r="F18" i="5"/>
  <c r="J5" i="5"/>
  <c r="C15" i="5"/>
  <c r="K13" i="5"/>
  <c r="C14" i="5"/>
  <c r="G15" i="5"/>
  <c r="G7" i="5"/>
  <c r="F7" i="5"/>
  <c r="C6" i="5"/>
  <c r="F13" i="5"/>
  <c r="G17" i="5"/>
  <c r="J17" i="5"/>
  <c r="F23" i="5"/>
  <c r="G26" i="5"/>
  <c r="J23" i="5"/>
  <c r="G5" i="5"/>
  <c r="G16" i="5"/>
  <c r="F21" i="5"/>
  <c r="C8" i="5"/>
  <c r="F16" i="5"/>
  <c r="C25" i="5"/>
  <c r="C17" i="5"/>
  <c r="F15" i="5"/>
  <c r="C26" i="5"/>
  <c r="F17" i="5"/>
  <c r="C13" i="5"/>
  <c r="F6" i="5"/>
  <c r="C7" i="5"/>
  <c r="C18" i="5"/>
  <c r="G18" i="5"/>
  <c r="J9" i="5"/>
  <c r="F22" i="5"/>
  <c r="C23" i="5"/>
  <c r="N5" i="5"/>
  <c r="G33" i="5"/>
  <c r="F8" i="5"/>
  <c r="G6" i="5"/>
  <c r="F14" i="5"/>
  <c r="J8" i="5"/>
  <c r="J10" i="5"/>
  <c r="F26" i="5"/>
  <c r="C21" i="5"/>
  <c r="J22" i="5"/>
  <c r="J24" i="5"/>
  <c r="J32" i="5"/>
  <c r="J35" i="5"/>
  <c r="J31" i="5"/>
  <c r="J33" i="5"/>
  <c r="J34" i="5"/>
  <c r="J36" i="5"/>
  <c r="G35" i="5"/>
  <c r="G31" i="5"/>
  <c r="G36" i="5"/>
  <c r="G32" i="5"/>
  <c r="I38" i="5"/>
  <c r="I28" i="5"/>
  <c r="F52" i="1" l="1"/>
  <c r="D52" i="1"/>
  <c r="D48" i="1"/>
  <c r="J28" i="5"/>
  <c r="G28" i="5"/>
  <c r="F48" i="1"/>
  <c r="H48" i="1"/>
  <c r="G38" i="5"/>
  <c r="J38" i="5"/>
  <c r="J48" i="1"/>
  <c r="D56" i="1" l="1"/>
  <c r="F56" i="1"/>
  <c r="H52" i="1"/>
  <c r="H56" i="1" s="1"/>
  <c r="J52" i="1"/>
  <c r="J56" i="1" s="1"/>
  <c r="H70" i="1" l="1"/>
  <c r="H76" i="1" s="1"/>
</calcChain>
</file>

<file path=xl/sharedStrings.xml><?xml version="1.0" encoding="utf-8"?>
<sst xmlns="http://schemas.openxmlformats.org/spreadsheetml/2006/main" count="185" uniqueCount="113">
  <si>
    <t>年齢</t>
    <rPh sb="0" eb="2">
      <t>ネンレイ</t>
    </rPh>
    <phoneticPr fontId="1"/>
  </si>
  <si>
    <t>給与収入</t>
    <rPh sb="0" eb="4">
      <t>キュウヨシュウニュウ</t>
    </rPh>
    <phoneticPr fontId="1"/>
  </si>
  <si>
    <t>給与所得</t>
    <rPh sb="0" eb="4">
      <t>キュウヨショトク</t>
    </rPh>
    <phoneticPr fontId="1"/>
  </si>
  <si>
    <t>年金収入</t>
    <rPh sb="0" eb="4">
      <t>ネンキンシュウニュウ</t>
    </rPh>
    <phoneticPr fontId="1"/>
  </si>
  <si>
    <t>年金所得</t>
    <rPh sb="0" eb="4">
      <t>ネンキンショトク</t>
    </rPh>
    <phoneticPr fontId="1"/>
  </si>
  <si>
    <t>合計所得</t>
    <rPh sb="0" eb="4">
      <t>ゴウケイショトク</t>
    </rPh>
    <phoneticPr fontId="1"/>
  </si>
  <si>
    <t>世帯主</t>
    <rPh sb="0" eb="3">
      <t>セタイヌシ</t>
    </rPh>
    <phoneticPr fontId="1"/>
  </si>
  <si>
    <t>それ以外の
所得</t>
    <rPh sb="2" eb="4">
      <t>イガイ</t>
    </rPh>
    <rPh sb="6" eb="8">
      <t>ショトク</t>
    </rPh>
    <phoneticPr fontId="1"/>
  </si>
  <si>
    <t>所得割率</t>
    <rPh sb="0" eb="3">
      <t>ショトクワリ</t>
    </rPh>
    <rPh sb="3" eb="4">
      <t>リツ</t>
    </rPh>
    <phoneticPr fontId="1"/>
  </si>
  <si>
    <t>均等割額</t>
    <rPh sb="0" eb="3">
      <t>キントウワ</t>
    </rPh>
    <rPh sb="3" eb="4">
      <t>ガク</t>
    </rPh>
    <phoneticPr fontId="1"/>
  </si>
  <si>
    <t>子ども軽減額</t>
    <rPh sb="0" eb="1">
      <t>コ</t>
    </rPh>
    <rPh sb="3" eb="6">
      <t>ケイゲンガク</t>
    </rPh>
    <phoneticPr fontId="1"/>
  </si>
  <si>
    <t>平等割額</t>
    <rPh sb="0" eb="4">
      <t>ビョウドウワリガク</t>
    </rPh>
    <phoneticPr fontId="1"/>
  </si>
  <si>
    <t>保険料限度額</t>
    <rPh sb="0" eb="6">
      <t>ホケンリョウゲンドガク</t>
    </rPh>
    <phoneticPr fontId="1"/>
  </si>
  <si>
    <t>医療</t>
    <rPh sb="0" eb="2">
      <t>イリョウ</t>
    </rPh>
    <phoneticPr fontId="1"/>
  </si>
  <si>
    <t>支援金</t>
    <rPh sb="0" eb="3">
      <t>シエンキン</t>
    </rPh>
    <phoneticPr fontId="1"/>
  </si>
  <si>
    <t>介護</t>
    <rPh sb="0" eb="2">
      <t>カイゴ</t>
    </rPh>
    <phoneticPr fontId="1"/>
  </si>
  <si>
    <t>料率
基本料金</t>
    <rPh sb="0" eb="2">
      <t>リョウリツ</t>
    </rPh>
    <rPh sb="3" eb="7">
      <t>キホンリョウキン</t>
    </rPh>
    <phoneticPr fontId="1"/>
  </si>
  <si>
    <t>軽減額</t>
    <rPh sb="0" eb="3">
      <t>ケイゲンガク</t>
    </rPh>
    <phoneticPr fontId="1"/>
  </si>
  <si>
    <t>区分（割）</t>
    <rPh sb="0" eb="2">
      <t>クブン</t>
    </rPh>
    <rPh sb="3" eb="4">
      <t>ワ</t>
    </rPh>
    <phoneticPr fontId="1"/>
  </si>
  <si>
    <t>軽減均等割額</t>
    <rPh sb="0" eb="6">
      <t>ケイゲンキントウワリガク</t>
    </rPh>
    <phoneticPr fontId="1"/>
  </si>
  <si>
    <t>加入する</t>
    <rPh sb="0" eb="2">
      <t>カニュウ</t>
    </rPh>
    <phoneticPr fontId="1"/>
  </si>
  <si>
    <t>①</t>
    <phoneticPr fontId="1"/>
  </si>
  <si>
    <t>②</t>
    <phoneticPr fontId="1"/>
  </si>
  <si>
    <t>③</t>
    <phoneticPr fontId="1"/>
  </si>
  <si>
    <t>・①から順番に入力してください。</t>
    <rPh sb="4" eb="6">
      <t>ジュンバン</t>
    </rPh>
    <rPh sb="7" eb="9">
      <t>ニュウリョク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</si>
  <si>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</si>
  <si>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</si>
  <si>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</si>
  <si>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</si>
  <si>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</si>
  <si>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・専従者給与・控除等がある方</t>
    <phoneticPr fontId="1"/>
  </si>
  <si>
    <t>・分離所得・繰越損失がある方</t>
    <phoneticPr fontId="1"/>
  </si>
  <si>
    <t>※次の方がいる世帯は正しく計算できません</t>
    <rPh sb="1" eb="2">
      <t>ツギ</t>
    </rPh>
    <rPh sb="3" eb="4">
      <t>カタ</t>
    </rPh>
    <rPh sb="7" eb="9">
      <t>セタイ</t>
    </rPh>
    <rPh sb="10" eb="11">
      <t>タダ</t>
    </rPh>
    <rPh sb="13" eb="15">
      <t>ケイサン</t>
    </rPh>
    <phoneticPr fontId="1"/>
  </si>
  <si>
    <t>・障害年金・遺族年金は非課税のため、入力不要です。</t>
    <rPh sb="1" eb="5">
      <t>ショウガイネンキン</t>
    </rPh>
    <rPh sb="6" eb="10">
      <t>イゾクネンキン</t>
    </rPh>
    <rPh sb="11" eb="14">
      <t>ヒカゼイ</t>
    </rPh>
    <rPh sb="18" eb="22">
      <t>ニュウリョクフヨウ</t>
    </rPh>
    <phoneticPr fontId="1"/>
  </si>
  <si>
    <t>世帯主</t>
    <rPh sb="0" eb="3">
      <t>セタイヌシ</t>
    </rPh>
    <phoneticPr fontId="1"/>
  </si>
  <si>
    <t>世帯員１</t>
    <rPh sb="0" eb="3">
      <t>セタイイン</t>
    </rPh>
    <phoneticPr fontId="1"/>
  </si>
  <si>
    <t>世帯員２</t>
    <rPh sb="0" eb="3">
      <t>セタイイン</t>
    </rPh>
    <phoneticPr fontId="1"/>
  </si>
  <si>
    <t>世帯員３</t>
    <rPh sb="0" eb="3">
      <t>セタイイン</t>
    </rPh>
    <phoneticPr fontId="1"/>
  </si>
  <si>
    <t>世帯員４</t>
    <rPh sb="0" eb="3">
      <t>セタイイン</t>
    </rPh>
    <phoneticPr fontId="1"/>
  </si>
  <si>
    <t>世帯員５</t>
    <rPh sb="0" eb="3">
      <t>セタイイン</t>
    </rPh>
    <phoneticPr fontId="1"/>
  </si>
  <si>
    <t>6,600,000~8,500,000</t>
    <phoneticPr fontId="1"/>
  </si>
  <si>
    <t>8,500,001~</t>
    <phoneticPr fontId="1"/>
  </si>
  <si>
    <t>～1,300,000</t>
    <phoneticPr fontId="1"/>
  </si>
  <si>
    <t>1,300,001~4,100,000</t>
    <phoneticPr fontId="1"/>
  </si>
  <si>
    <t>65歳未満　年金以外合計所得　1,000万円以下</t>
    <rPh sb="2" eb="5">
      <t>サイミマン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</si>
  <si>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65歳以上　年金以外合計所得　1,000万円以下</t>
    <rPh sb="2" eb="5">
      <t>サイイジョウ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</si>
  <si>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7,700,001~10,000,000</t>
    <phoneticPr fontId="1"/>
  </si>
  <si>
    <t>10,000,001~</t>
    <phoneticPr fontId="1"/>
  </si>
  <si>
    <t>～3,300,000</t>
    <phoneticPr fontId="1"/>
  </si>
  <si>
    <t>3,300,001~4,100,000</t>
    <phoneticPr fontId="1"/>
  </si>
  <si>
    <t>4,100,001~7,700,000</t>
    <phoneticPr fontId="1"/>
  </si>
  <si>
    <t>年金額</t>
    <rPh sb="0" eb="3">
      <t>ネンキンガク</t>
    </rPh>
    <phoneticPr fontId="1"/>
  </si>
  <si>
    <t>年金所得</t>
    <rPh sb="0" eb="2">
      <t>ネンキン</t>
    </rPh>
    <rPh sb="2" eb="4">
      <t>ショトク</t>
    </rPh>
    <phoneticPr fontId="1"/>
  </si>
  <si>
    <t>給与額</t>
    <rPh sb="0" eb="3">
      <t>キュウヨガク</t>
    </rPh>
    <phoneticPr fontId="1"/>
  </si>
  <si>
    <t>給与所得</t>
    <rPh sb="0" eb="4">
      <t>キュウヨショトク</t>
    </rPh>
    <phoneticPr fontId="1"/>
  </si>
  <si>
    <t>所得</t>
    <rPh sb="0" eb="2">
      <t>ショトク</t>
    </rPh>
    <phoneticPr fontId="1"/>
  </si>
  <si>
    <t>給与所得（調整控除前）</t>
    <rPh sb="0" eb="4">
      <t>キュウヨショトク</t>
    </rPh>
    <rPh sb="5" eb="10">
      <t>チョウセイコウジョマエ</t>
    </rPh>
    <phoneticPr fontId="1"/>
  </si>
  <si>
    <t>調整控除前</t>
    <rPh sb="0" eb="4">
      <t>チョウセイコウジョ</t>
    </rPh>
    <rPh sb="4" eb="5">
      <t>マエ</t>
    </rPh>
    <phoneticPr fontId="1"/>
  </si>
  <si>
    <t>調整控除後</t>
    <rPh sb="0" eb="5">
      <t>チョウセイコウジョゴ</t>
    </rPh>
    <phoneticPr fontId="1"/>
  </si>
  <si>
    <t>医療分</t>
    <rPh sb="0" eb="3">
      <t>イリョウブン</t>
    </rPh>
    <phoneticPr fontId="1"/>
  </si>
  <si>
    <t>所得割</t>
    <rPh sb="0" eb="3">
      <t>ショトクワリ</t>
    </rPh>
    <phoneticPr fontId="1"/>
  </si>
  <si>
    <t>世帯</t>
    <rPh sb="0" eb="2">
      <t>セタイ</t>
    </rPh>
    <phoneticPr fontId="1"/>
  </si>
  <si>
    <t>軽減割合</t>
    <rPh sb="0" eb="4">
      <t>ケイゲンワリアイ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</si>
  <si>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</si>
  <si>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</si>
  <si>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</si>
  <si>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被保険者数</t>
    <rPh sb="0" eb="5">
      <t>ヒホケンシャスウ</t>
    </rPh>
    <phoneticPr fontId="1"/>
  </si>
  <si>
    <t>給与
所得者等か</t>
    <rPh sb="0" eb="2">
      <t>キュウヨ</t>
    </rPh>
    <rPh sb="3" eb="5">
      <t>ショトク</t>
    </rPh>
    <rPh sb="5" eb="6">
      <t>シャ</t>
    </rPh>
    <rPh sb="6" eb="7">
      <t>トウ</t>
    </rPh>
    <phoneticPr fontId="1"/>
  </si>
  <si>
    <t>世帯
所得者数</t>
    <rPh sb="0" eb="2">
      <t>セタイ</t>
    </rPh>
    <rPh sb="3" eb="6">
      <t>ショトクシャ</t>
    </rPh>
    <rPh sb="6" eb="7">
      <t>スウ</t>
    </rPh>
    <phoneticPr fontId="1"/>
  </si>
  <si>
    <t>軽減
判定金額</t>
    <rPh sb="0" eb="2">
      <t>ケイゲン</t>
    </rPh>
    <rPh sb="3" eb="5">
      <t>ハンテイ</t>
    </rPh>
    <rPh sb="5" eb="7">
      <t>キンガク</t>
    </rPh>
    <phoneticPr fontId="1"/>
  </si>
  <si>
    <t>均等割</t>
    <rPh sb="0" eb="3">
      <t>キントウワ</t>
    </rPh>
    <phoneticPr fontId="1"/>
  </si>
  <si>
    <t>均等割
（7割）</t>
    <rPh sb="0" eb="3">
      <t>キントウワ</t>
    </rPh>
    <rPh sb="6" eb="7">
      <t>ワリ</t>
    </rPh>
    <phoneticPr fontId="1"/>
  </si>
  <si>
    <t>均等割
（5割）</t>
    <rPh sb="0" eb="3">
      <t>キントウワ</t>
    </rPh>
    <rPh sb="6" eb="7">
      <t>ワリ</t>
    </rPh>
    <phoneticPr fontId="1"/>
  </si>
  <si>
    <t>均等割
（2割）</t>
    <rPh sb="0" eb="3">
      <t>キントウワ</t>
    </rPh>
    <rPh sb="6" eb="7">
      <t>ワリ</t>
    </rPh>
    <phoneticPr fontId="1"/>
  </si>
  <si>
    <t>均等割
（子・7割）</t>
    <rPh sb="0" eb="3">
      <t>キントウワ</t>
    </rPh>
    <rPh sb="5" eb="6">
      <t>コ</t>
    </rPh>
    <rPh sb="8" eb="9">
      <t>ワリ</t>
    </rPh>
    <phoneticPr fontId="1"/>
  </si>
  <si>
    <t>均等割
（子・5割）</t>
    <rPh sb="0" eb="3">
      <t>キントウワ</t>
    </rPh>
    <rPh sb="5" eb="6">
      <t>コ</t>
    </rPh>
    <rPh sb="8" eb="9">
      <t>ワリ</t>
    </rPh>
    <phoneticPr fontId="1"/>
  </si>
  <si>
    <t>均等割
（子・2割）</t>
    <rPh sb="0" eb="3">
      <t>キントウワ</t>
    </rPh>
    <rPh sb="5" eb="6">
      <t>コ</t>
    </rPh>
    <rPh sb="8" eb="9">
      <t>ワリ</t>
    </rPh>
    <phoneticPr fontId="1"/>
  </si>
  <si>
    <t>均等割
（子）</t>
    <rPh sb="0" eb="3">
      <t>キントウワ</t>
    </rPh>
    <rPh sb="5" eb="6">
      <t>コ</t>
    </rPh>
    <phoneticPr fontId="1"/>
  </si>
  <si>
    <t>平等割</t>
    <rPh sb="0" eb="3">
      <t>ビョウドウワリ</t>
    </rPh>
    <phoneticPr fontId="1"/>
  </si>
  <si>
    <t>平等割
（7割）</t>
    <rPh sb="0" eb="2">
      <t>ビョウドウ</t>
    </rPh>
    <rPh sb="2" eb="3">
      <t>ワリ</t>
    </rPh>
    <rPh sb="6" eb="7">
      <t>ワリ</t>
    </rPh>
    <phoneticPr fontId="1"/>
  </si>
  <si>
    <t>平等割
（5割）</t>
    <rPh sb="0" eb="2">
      <t>ビョウドウ</t>
    </rPh>
    <rPh sb="2" eb="3">
      <t>ワリ</t>
    </rPh>
    <rPh sb="6" eb="7">
      <t>ワリ</t>
    </rPh>
    <phoneticPr fontId="1"/>
  </si>
  <si>
    <t>平等割
（2割）</t>
    <rPh sb="0" eb="2">
      <t>ビョウドウ</t>
    </rPh>
    <rPh sb="2" eb="3">
      <t>ワリ</t>
    </rPh>
    <rPh sb="6" eb="7">
      <t>ワリ</t>
    </rPh>
    <phoneticPr fontId="1"/>
  </si>
  <si>
    <t>支援金分</t>
    <rPh sb="0" eb="3">
      <t>シエンキン</t>
    </rPh>
    <rPh sb="3" eb="4">
      <t>ブン</t>
    </rPh>
    <phoneticPr fontId="1"/>
  </si>
  <si>
    <t>介護分</t>
    <rPh sb="0" eb="2">
      <t>カイゴ</t>
    </rPh>
    <rPh sb="2" eb="3">
      <t>ブン</t>
    </rPh>
    <phoneticPr fontId="1"/>
  </si>
  <si>
    <t>軽減平等割額</t>
    <rPh sb="0" eb="1">
      <t>ケイ</t>
    </rPh>
    <rPh sb="2" eb="4">
      <t>ビョウドウ</t>
    </rPh>
    <rPh sb="4" eb="5">
      <t>ワリ</t>
    </rPh>
    <rPh sb="5" eb="6">
      <t>ガク</t>
    </rPh>
    <phoneticPr fontId="1"/>
  </si>
  <si>
    <t>試算結果はこちら</t>
    <rPh sb="0" eb="4">
      <t>シサンケッカ</t>
    </rPh>
    <phoneticPr fontId="1"/>
  </si>
  <si>
    <t>所得割</t>
    <rPh sb="0" eb="3">
      <t>ショトクワリ</t>
    </rPh>
    <phoneticPr fontId="1"/>
  </si>
  <si>
    <t>均等割</t>
    <rPh sb="0" eb="3">
      <t>キントウワ</t>
    </rPh>
    <phoneticPr fontId="1"/>
  </si>
  <si>
    <t>平等割</t>
    <rPh sb="0" eb="3">
      <t>ビョウドウワリ</t>
    </rPh>
    <phoneticPr fontId="1"/>
  </si>
  <si>
    <t>賦課限度額</t>
    <rPh sb="0" eb="5">
      <t>フカゲンドガク</t>
    </rPh>
    <phoneticPr fontId="1"/>
  </si>
  <si>
    <t>医療分</t>
    <rPh sb="0" eb="3">
      <t>イリョウブン</t>
    </rPh>
    <phoneticPr fontId="1"/>
  </si>
  <si>
    <t>後期高齢者支援金分</t>
    <rPh sb="0" eb="5">
      <t>コウキコウレイシャ</t>
    </rPh>
    <rPh sb="5" eb="9">
      <t>シエンキンブン</t>
    </rPh>
    <phoneticPr fontId="1"/>
  </si>
  <si>
    <t>介護納付金分
（40歳～65歳未満対象）</t>
    <rPh sb="0" eb="6">
      <t>カイゴノウフキンブン</t>
    </rPh>
    <rPh sb="10" eb="11">
      <t>サイ</t>
    </rPh>
    <rPh sb="14" eb="17">
      <t>サイミマン</t>
    </rPh>
    <rPh sb="17" eb="19">
      <t>タイショウ</t>
    </rPh>
    <phoneticPr fontId="1"/>
  </si>
  <si>
    <t>金額内訳</t>
    <rPh sb="0" eb="4">
      <t>キンガクウチワケ</t>
    </rPh>
    <phoneticPr fontId="1"/>
  </si>
  <si>
    <t>合計額</t>
    <rPh sb="0" eb="3">
      <t>ゴウケイガク</t>
    </rPh>
    <phoneticPr fontId="1"/>
  </si>
  <si>
    <t>年間保険料金額</t>
    <rPh sb="0" eb="7">
      <t>ネンカンホケンリョウキンガク</t>
    </rPh>
    <phoneticPr fontId="1"/>
  </si>
  <si>
    <t>1か月あたりの保険料金額</t>
    <rPh sb="2" eb="3">
      <t>ゲツ</t>
    </rPh>
    <rPh sb="7" eb="10">
      <t>ホケンリョウ</t>
    </rPh>
    <rPh sb="10" eb="12">
      <t>キンガク</t>
    </rPh>
    <phoneticPr fontId="1"/>
  </si>
  <si>
    <t>　</t>
  </si>
  <si>
    <t>計算の基となる所得</t>
    <rPh sb="0" eb="2">
      <t>ケイサン</t>
    </rPh>
    <rPh sb="3" eb="4">
      <t>モト</t>
    </rPh>
    <rPh sb="7" eb="9">
      <t>ショトク</t>
    </rPh>
    <phoneticPr fontId="1"/>
  </si>
  <si>
    <t>←軽減判定所得の見直しは、ここの式を修正</t>
    <rPh sb="1" eb="5">
      <t>ケイゲンハンテイ</t>
    </rPh>
    <rPh sb="5" eb="7">
      <t>ショトク</t>
    </rPh>
    <rPh sb="8" eb="10">
      <t>ミナオ</t>
    </rPh>
    <rPh sb="16" eb="17">
      <t>シキ</t>
    </rPh>
    <rPh sb="18" eb="20">
      <t>シュウセイ</t>
    </rPh>
    <phoneticPr fontId="1"/>
  </si>
  <si>
    <t>令和8年度　吹田市　国民健康保険料　試算シート</t>
    <phoneticPr fontId="1"/>
  </si>
  <si>
    <t>・令和8年4月から令和9年3月の間に7歳・40歳・65歳・75歳になる方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6" eb="17">
      <t>アイダ</t>
    </rPh>
    <phoneticPr fontId="1"/>
  </si>
  <si>
    <t>・令和8年4月から令和9年3月の間に加入・脱退される方</t>
    <phoneticPr fontId="1"/>
  </si>
  <si>
    <t>子ども</t>
    <rPh sb="0" eb="1">
      <t>コ</t>
    </rPh>
    <phoneticPr fontId="1"/>
  </si>
  <si>
    <t>子ども分</t>
    <rPh sb="0" eb="1">
      <t>コ</t>
    </rPh>
    <rPh sb="3" eb="4">
      <t>ブン</t>
    </rPh>
    <phoneticPr fontId="1"/>
  </si>
  <si>
    <r>
      <t>・加入しない世帯員の項目は入力不要です。</t>
    </r>
    <r>
      <rPr>
        <b/>
        <sz val="22"/>
        <color rgb="FFFF0000"/>
        <rFont val="游ゴシック"/>
        <family val="3"/>
        <charset val="128"/>
        <scheme val="minor"/>
      </rPr>
      <t>ただし、世帯主は加入しない場合でも入力してください。</t>
    </r>
    <rPh sb="1" eb="3">
      <t>カニュウ</t>
    </rPh>
    <rPh sb="6" eb="9">
      <t>セタイイン</t>
    </rPh>
    <rPh sb="10" eb="12">
      <t>コウモク</t>
    </rPh>
    <rPh sb="13" eb="17">
      <t>ニュウリョクフヨウ</t>
    </rPh>
    <rPh sb="24" eb="27">
      <t>セタイヌシ</t>
    </rPh>
    <rPh sb="28" eb="30">
      <t>カニュウ</t>
    </rPh>
    <rPh sb="33" eb="35">
      <t>バアイ</t>
    </rPh>
    <rPh sb="37" eb="39">
      <t>ニュウリョク</t>
    </rPh>
    <phoneticPr fontId="1"/>
  </si>
  <si>
    <t>551,000~1,900,000</t>
    <phoneticPr fontId="1"/>
  </si>
  <si>
    <t>1,900,001~3,599,999</t>
    <phoneticPr fontId="1"/>
  </si>
  <si>
    <t>3,600,000~6,599,999</t>
    <phoneticPr fontId="1"/>
  </si>
  <si>
    <t>１８歳以上
被保険者均等割</t>
    <phoneticPr fontId="1"/>
  </si>
  <si>
    <t>参考
18歳未満均等割額</t>
    <rPh sb="0" eb="2">
      <t>サンコウ</t>
    </rPh>
    <rPh sb="5" eb="6">
      <t>サイ</t>
    </rPh>
    <rPh sb="6" eb="8">
      <t>ミマン</t>
    </rPh>
    <rPh sb="8" eb="11">
      <t>キントウワリ</t>
    </rPh>
    <rPh sb="11" eb="12">
      <t>ガク</t>
    </rPh>
    <phoneticPr fontId="1"/>
  </si>
  <si>
    <t>・年金収入があり、それ以外の所得が1,250万円以上の方（賦課限度額です）</t>
    <rPh sb="1" eb="5">
      <t>ネンキンシュウニュウ</t>
    </rPh>
    <rPh sb="11" eb="13">
      <t>イガイ</t>
    </rPh>
    <rPh sb="14" eb="16">
      <t>ショトク</t>
    </rPh>
    <rPh sb="22" eb="23">
      <t>マン</t>
    </rPh>
    <rPh sb="23" eb="26">
      <t>エンイジョウ</t>
    </rPh>
    <rPh sb="27" eb="28">
      <t>カタ</t>
    </rPh>
    <rPh sb="29" eb="34">
      <t>フカゲンドガク</t>
    </rPh>
    <phoneticPr fontId="1"/>
  </si>
  <si>
    <t>子ども・子育て支援納付金分</t>
    <rPh sb="0" eb="1">
      <t>コ</t>
    </rPh>
    <rPh sb="4" eb="6">
      <t>コソダ</t>
    </rPh>
    <rPh sb="7" eb="9">
      <t>シエン</t>
    </rPh>
    <rPh sb="9" eb="12">
      <t>ノウフキン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</si>
</sst>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);[Red]\(#,##0\)"/>
    <numFmt numFmtId="177" formatCode="0.0000_);[Red]\(0.0000\)"/>
    <numFmt numFmtId="178" formatCode="#,##0_ "/>
    <numFmt numFmtId="179" formatCode="#,##0&quot;円&quot;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6"/>
      <name val="游ゴシック"/>
      <family val="2"/>
      <scheme val="minor"/>
    </font>
    <font>
      <sz val="20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scheme val="minor"/>
    </font>
    <font>
      <sz val="40"/>
      <color theme="1"/>
      <name val="游ゴシック"/>
      <family val="2"/>
      <scheme val="minor"/>
    </font>
    <font>
      <sz val="20"/>
      <color theme="1"/>
      <name val="游ゴシック"/>
      <family val="2"/>
      <scheme val="minor"/>
    </font>
    <font>
      <sz val="24"/>
      <color theme="1"/>
      <name val="游ゴシック"/>
      <family val="2"/>
      <scheme val="minor"/>
    </font>
    <font>
      <b/>
      <sz val="30"/>
      <name val="游ゴシック"/>
      <family val="3"/>
      <charset val="128"/>
      <scheme val="minor"/>
    </font>
    <font>
      <sz val="22"/>
      <color rgb="FF222222"/>
      <name val="游ゴシック"/>
      <family val="3"/>
      <charset val="128"/>
      <scheme val="minor"/>
    </font>
    <font>
      <b/>
      <sz val="20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b/>
      <sz val="4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sz val="60"/>
      <color theme="1"/>
      <name val="游ゴシック"/>
      <family val="2"/>
      <scheme val="minor"/>
    </font>
    <font>
      <b/>
      <sz val="22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ck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ck">
        <color theme="8"/>
      </bottom>
      <diagonal/>
    </border>
    <border>
      <left style="medium">
        <color theme="8"/>
      </left>
      <right style="thick">
        <color theme="8"/>
      </right>
      <top style="medium">
        <color theme="8"/>
      </top>
      <bottom style="thick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thick">
        <color theme="8"/>
      </right>
      <top/>
      <bottom style="medium">
        <color theme="8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 style="thick">
        <color theme="8"/>
      </left>
      <right style="thick">
        <color theme="8"/>
      </right>
      <top style="medium">
        <color theme="8"/>
      </top>
      <bottom style="medium">
        <color theme="8"/>
      </bottom>
      <diagonal/>
    </border>
    <border>
      <left style="thick">
        <color theme="8"/>
      </left>
      <right style="thick">
        <color theme="8"/>
      </right>
      <top style="medium">
        <color theme="8"/>
      </top>
      <bottom style="thick">
        <color theme="8"/>
      </bottom>
      <diagonal/>
    </border>
    <border>
      <left/>
      <right style="thick">
        <color theme="8"/>
      </right>
      <top style="thick">
        <color theme="8"/>
      </top>
      <bottom style="medium">
        <color theme="8"/>
      </bottom>
      <diagonal/>
    </border>
    <border>
      <left/>
      <right style="thick">
        <color theme="8"/>
      </right>
      <top style="medium">
        <color theme="8"/>
      </top>
      <bottom style="medium">
        <color theme="8"/>
      </bottom>
      <diagonal/>
    </border>
    <border>
      <left/>
      <right style="thick">
        <color theme="8"/>
      </right>
      <top style="medium">
        <color theme="8"/>
      </top>
      <bottom style="thick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thick">
        <color theme="8"/>
      </bottom>
      <diagonal/>
    </border>
    <border>
      <left style="thick">
        <color theme="8"/>
      </left>
      <right style="medium">
        <color theme="8"/>
      </right>
      <top style="thick">
        <color theme="8"/>
      </top>
      <bottom style="thick">
        <color theme="8"/>
      </bottom>
      <diagonal/>
    </border>
    <border>
      <left style="medium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/>
      <right style="medium">
        <color theme="8"/>
      </right>
      <top style="thick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thick">
        <color theme="8"/>
      </top>
      <bottom style="medium">
        <color theme="8"/>
      </bottom>
      <diagonal/>
    </border>
    <border>
      <left style="medium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/>
      <right/>
      <top/>
      <bottom style="thick">
        <color theme="8"/>
      </bottom>
      <diagonal/>
    </border>
    <border>
      <left style="thick">
        <color theme="8"/>
      </left>
      <right style="medium">
        <color theme="8"/>
      </right>
      <top/>
      <bottom style="thick">
        <color theme="8"/>
      </bottom>
      <diagonal/>
    </border>
    <border>
      <left style="medium">
        <color theme="8"/>
      </left>
      <right style="thick">
        <color theme="8"/>
      </right>
      <top/>
      <bottom style="thick">
        <color theme="8"/>
      </bottom>
      <diagonal/>
    </border>
    <border>
      <left style="thick">
        <color theme="8"/>
      </left>
      <right style="medium">
        <color theme="8"/>
      </right>
      <top style="medium">
        <color theme="8"/>
      </top>
      <bottom style="thick">
        <color theme="8"/>
      </bottom>
      <diagonal/>
    </border>
  </borders>
  <cellStyleXfs count="2">
    <xf numFmtId="0" fontId="0" fillId="0" borderId="0"/>
    <xf numFmtId="6" fontId="2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38" fontId="4" fillId="0" borderId="0" xfId="1" applyNumberFormat="1" applyFont="1" applyAlignment="1"/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vertical="center"/>
    </xf>
    <xf numFmtId="38" fontId="5" fillId="2" borderId="3" xfId="1" applyNumberFormat="1" applyFont="1" applyFill="1" applyBorder="1" applyAlignment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2" borderId="17" xfId="0" applyNumberFormat="1" applyFont="1" applyFill="1" applyBorder="1" applyAlignment="1">
      <alignment horizontal="center" vertical="center"/>
    </xf>
    <xf numFmtId="0" fontId="11" fillId="2" borderId="18" xfId="0" applyNumberFormat="1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center" vertical="center"/>
    </xf>
    <xf numFmtId="176" fontId="13" fillId="0" borderId="20" xfId="0" applyNumberFormat="1" applyFont="1" applyBorder="1" applyAlignment="1">
      <alignment horizontal="right"/>
    </xf>
    <xf numFmtId="176" fontId="13" fillId="0" borderId="2" xfId="0" applyNumberFormat="1" applyFont="1" applyBorder="1" applyAlignment="1">
      <alignment horizontal="right"/>
    </xf>
    <xf numFmtId="176" fontId="13" fillId="0" borderId="5" xfId="0" applyNumberFormat="1" applyFont="1" applyBorder="1" applyAlignment="1">
      <alignment horizontal="right"/>
    </xf>
    <xf numFmtId="176" fontId="13" fillId="0" borderId="21" xfId="0" applyNumberFormat="1" applyFont="1" applyBorder="1" applyAlignment="1">
      <alignment horizontal="right"/>
    </xf>
    <xf numFmtId="176" fontId="13" fillId="0" borderId="6" xfId="0" applyNumberFormat="1" applyFont="1" applyBorder="1" applyAlignment="1">
      <alignment horizontal="right"/>
    </xf>
    <xf numFmtId="176" fontId="13" fillId="0" borderId="7" xfId="0" applyNumberFormat="1" applyFont="1" applyBorder="1" applyAlignment="1">
      <alignment horizontal="right"/>
    </xf>
    <xf numFmtId="178" fontId="13" fillId="0" borderId="11" xfId="0" applyNumberFormat="1" applyFont="1" applyBorder="1" applyAlignment="1">
      <alignment horizontal="right"/>
    </xf>
    <xf numFmtId="178" fontId="13" fillId="0" borderId="2" xfId="0" applyNumberFormat="1" applyFont="1" applyBorder="1" applyAlignment="1">
      <alignment horizontal="right"/>
    </xf>
    <xf numFmtId="178" fontId="13" fillId="0" borderId="5" xfId="0" applyNumberFormat="1" applyFont="1" applyBorder="1" applyAlignment="1">
      <alignment horizontal="right"/>
    </xf>
    <xf numFmtId="178" fontId="13" fillId="0" borderId="20" xfId="0" applyNumberFormat="1" applyFont="1" applyBorder="1" applyAlignment="1">
      <alignment horizontal="right"/>
    </xf>
    <xf numFmtId="178" fontId="14" fillId="3" borderId="4" xfId="0" applyNumberFormat="1" applyFont="1" applyFill="1" applyBorder="1"/>
    <xf numFmtId="178" fontId="13" fillId="0" borderId="12" xfId="0" applyNumberFormat="1" applyFont="1" applyBorder="1" applyAlignment="1">
      <alignment horizontal="right"/>
    </xf>
    <xf numFmtId="178" fontId="13" fillId="0" borderId="6" xfId="0" applyNumberFormat="1" applyFont="1" applyBorder="1" applyAlignment="1">
      <alignment horizontal="right"/>
    </xf>
    <xf numFmtId="178" fontId="13" fillId="0" borderId="7" xfId="0" applyNumberFormat="1" applyFont="1" applyBorder="1" applyAlignment="1">
      <alignment horizontal="right"/>
    </xf>
    <xf numFmtId="178" fontId="13" fillId="0" borderId="21" xfId="0" applyNumberFormat="1" applyFont="1" applyBorder="1" applyAlignment="1">
      <alignment horizontal="right"/>
    </xf>
    <xf numFmtId="176" fontId="14" fillId="3" borderId="14" xfId="0" applyNumberFormat="1" applyFont="1" applyFill="1" applyBorder="1"/>
    <xf numFmtId="176" fontId="14" fillId="3" borderId="4" xfId="0" applyNumberFormat="1" applyFont="1" applyFill="1" applyBorder="1"/>
    <xf numFmtId="0" fontId="14" fillId="2" borderId="4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38" fontId="3" fillId="0" borderId="0" xfId="1" applyNumberFormat="1" applyFont="1" applyAlignment="1"/>
    <xf numFmtId="0" fontId="6" fillId="0" borderId="0" xfId="0" applyFont="1" applyAlignment="1">
      <alignment horizontal="center" vertical="center"/>
    </xf>
    <xf numFmtId="0" fontId="15" fillId="0" borderId="0" xfId="0" applyFont="1"/>
    <xf numFmtId="176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78" fontId="14" fillId="3" borderId="4" xfId="0" applyNumberFormat="1" applyFont="1" applyFill="1" applyBorder="1" applyAlignment="1">
      <alignment horizontal="center"/>
    </xf>
    <xf numFmtId="176" fontId="14" fillId="3" borderId="4" xfId="0" applyNumberFormat="1" applyFont="1" applyFill="1" applyBorder="1" applyAlignment="1">
      <alignment horizontal="right" vertical="center"/>
    </xf>
    <xf numFmtId="0" fontId="14" fillId="2" borderId="28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right" vertical="center"/>
    </xf>
    <xf numFmtId="0" fontId="14" fillId="2" borderId="14" xfId="0" applyFont="1" applyFill="1" applyBorder="1" applyAlignment="1">
      <alignment horizontal="center" vertical="center" wrapText="1"/>
    </xf>
    <xf numFmtId="176" fontId="15" fillId="0" borderId="9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12" xfId="0" applyNumberFormat="1" applyFont="1" applyBorder="1" applyAlignment="1">
      <alignment horizontal="right" vertical="center"/>
    </xf>
    <xf numFmtId="176" fontId="15" fillId="0" borderId="6" xfId="0" applyNumberFormat="1" applyFont="1" applyBorder="1" applyAlignment="1">
      <alignment horizontal="right" vertical="center"/>
    </xf>
    <xf numFmtId="176" fontId="15" fillId="0" borderId="7" xfId="0" applyNumberFormat="1" applyFont="1" applyBorder="1" applyAlignment="1">
      <alignment horizontal="right" vertical="center"/>
    </xf>
    <xf numFmtId="176" fontId="15" fillId="0" borderId="33" xfId="0" applyNumberFormat="1" applyFont="1" applyBorder="1" applyAlignment="1">
      <alignment horizontal="right" vertical="center"/>
    </xf>
    <xf numFmtId="176" fontId="15" fillId="0" borderId="31" xfId="0" applyNumberFormat="1" applyFont="1" applyBorder="1" applyAlignment="1">
      <alignment horizontal="right" vertical="center"/>
    </xf>
    <xf numFmtId="176" fontId="15" fillId="0" borderId="32" xfId="0" applyNumberFormat="1" applyFont="1" applyBorder="1" applyAlignment="1">
      <alignment horizontal="right" vertical="center"/>
    </xf>
    <xf numFmtId="176" fontId="15" fillId="0" borderId="34" xfId="0" applyNumberFormat="1" applyFont="1" applyBorder="1" applyAlignment="1">
      <alignment horizontal="right" vertical="center"/>
    </xf>
    <xf numFmtId="176" fontId="15" fillId="0" borderId="35" xfId="0" applyNumberFormat="1" applyFont="1" applyBorder="1" applyAlignment="1">
      <alignment horizontal="right" vertical="center"/>
    </xf>
    <xf numFmtId="176" fontId="15" fillId="0" borderId="36" xfId="0" applyNumberFormat="1" applyFont="1" applyBorder="1" applyAlignment="1">
      <alignment horizontal="right" vertical="center"/>
    </xf>
    <xf numFmtId="176" fontId="15" fillId="0" borderId="22" xfId="0" applyNumberFormat="1" applyFont="1" applyBorder="1" applyAlignment="1">
      <alignment horizontal="right" vertical="center"/>
    </xf>
    <xf numFmtId="176" fontId="15" fillId="0" borderId="20" xfId="0" applyNumberFormat="1" applyFont="1" applyBorder="1" applyAlignment="1">
      <alignment horizontal="right" vertical="center"/>
    </xf>
    <xf numFmtId="176" fontId="15" fillId="0" borderId="21" xfId="0" applyNumberFormat="1" applyFont="1" applyBorder="1" applyAlignment="1">
      <alignment horizontal="right" vertical="center"/>
    </xf>
    <xf numFmtId="0" fontId="17" fillId="0" borderId="0" xfId="0" applyFont="1"/>
    <xf numFmtId="0" fontId="18" fillId="0" borderId="0" xfId="0" applyFont="1"/>
    <xf numFmtId="0" fontId="21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176" fontId="5" fillId="3" borderId="8" xfId="0" applyNumberFormat="1" applyFont="1" applyFill="1" applyBorder="1" applyAlignment="1" applyProtection="1">
      <alignment horizontal="right"/>
      <protection locked="0"/>
    </xf>
    <xf numFmtId="176" fontId="5" fillId="2" borderId="8" xfId="0" applyNumberFormat="1" applyFont="1" applyFill="1" applyBorder="1" applyAlignment="1">
      <alignment horizontal="right"/>
    </xf>
    <xf numFmtId="176" fontId="5" fillId="2" borderId="9" xfId="0" applyNumberFormat="1" applyFont="1" applyFill="1" applyBorder="1" applyAlignment="1">
      <alignment horizontal="right"/>
    </xf>
    <xf numFmtId="10" fontId="5" fillId="0" borderId="0" xfId="0" applyNumberFormat="1" applyFont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176" fontId="5" fillId="3" borderId="2" xfId="0" applyNumberFormat="1" applyFont="1" applyFill="1" applyBorder="1" applyAlignment="1" applyProtection="1">
      <alignment horizontal="right"/>
      <protection locked="0"/>
    </xf>
    <xf numFmtId="3" fontId="5" fillId="0" borderId="0" xfId="0" applyNumberFormat="1" applyFont="1" applyAlignment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176" fontId="5" fillId="3" borderId="6" xfId="0" applyNumberFormat="1" applyFont="1" applyFill="1" applyBorder="1" applyAlignment="1" applyProtection="1">
      <alignment horizontal="right"/>
      <protection locked="0"/>
    </xf>
    <xf numFmtId="176" fontId="5" fillId="2" borderId="6" xfId="0" applyNumberFormat="1" applyFont="1" applyFill="1" applyBorder="1" applyAlignment="1">
      <alignment horizontal="right"/>
    </xf>
    <xf numFmtId="176" fontId="5" fillId="2" borderId="7" xfId="0" applyNumberFormat="1" applyFont="1" applyFill="1" applyBorder="1" applyAlignment="1">
      <alignment horizontal="right"/>
    </xf>
    <xf numFmtId="0" fontId="0" fillId="5" borderId="0" xfId="0" applyFill="1"/>
    <xf numFmtId="0" fontId="7" fillId="5" borderId="0" xfId="0" applyFont="1" applyFill="1" applyBorder="1" applyAlignment="1"/>
    <xf numFmtId="0" fontId="18" fillId="5" borderId="0" xfId="0" applyFont="1" applyFill="1"/>
    <xf numFmtId="0" fontId="15" fillId="5" borderId="0" xfId="0" applyFont="1" applyFill="1"/>
    <xf numFmtId="0" fontId="13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19" fillId="5" borderId="0" xfId="0" applyFont="1" applyFill="1" applyAlignment="1"/>
    <xf numFmtId="0" fontId="10" fillId="5" borderId="0" xfId="0" applyFont="1" applyFill="1" applyAlignment="1"/>
    <xf numFmtId="0" fontId="20" fillId="5" borderId="0" xfId="0" applyFont="1" applyFill="1" applyAlignment="1">
      <alignment horizontal="left" vertical="center" indent="1"/>
    </xf>
    <xf numFmtId="0" fontId="17" fillId="5" borderId="0" xfId="0" applyFont="1" applyFill="1"/>
    <xf numFmtId="0" fontId="17" fillId="5" borderId="1" xfId="0" applyFont="1" applyFill="1" applyBorder="1"/>
    <xf numFmtId="0" fontId="5" fillId="5" borderId="0" xfId="0" applyFont="1" applyFill="1" applyBorder="1"/>
    <xf numFmtId="0" fontId="5" fillId="5" borderId="0" xfId="0" applyFont="1" applyFill="1"/>
    <xf numFmtId="0" fontId="5" fillId="5" borderId="0" xfId="0" applyFont="1" applyFill="1" applyAlignment="1">
      <alignment horizontal="center" vertical="center"/>
    </xf>
    <xf numFmtId="0" fontId="0" fillId="5" borderId="0" xfId="0" applyFill="1" applyBorder="1"/>
    <xf numFmtId="0" fontId="5" fillId="3" borderId="10" xfId="0" applyFont="1" applyFill="1" applyBorder="1" applyAlignment="1" applyProtection="1">
      <alignment horizontal="center" vertical="center"/>
      <protection locked="0"/>
    </xf>
    <xf numFmtId="177" fontId="5" fillId="3" borderId="2" xfId="0" applyNumberFormat="1" applyFont="1" applyFill="1" applyBorder="1" applyAlignment="1" applyProtection="1">
      <alignment vertical="center"/>
      <protection locked="0"/>
    </xf>
    <xf numFmtId="176" fontId="5" fillId="3" borderId="2" xfId="0" applyNumberFormat="1" applyFont="1" applyFill="1" applyBorder="1" applyAlignment="1" applyProtection="1">
      <alignment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15" fillId="0" borderId="25" xfId="0" applyFont="1" applyBorder="1"/>
    <xf numFmtId="0" fontId="15" fillId="0" borderId="23" xfId="0" applyFont="1" applyBorder="1"/>
    <xf numFmtId="0" fontId="15" fillId="0" borderId="24" xfId="0" applyFont="1" applyBorder="1"/>
    <xf numFmtId="0" fontId="8" fillId="5" borderId="0" xfId="0" applyFont="1" applyFill="1" applyBorder="1"/>
    <xf numFmtId="0" fontId="0" fillId="0" borderId="0" xfId="0" applyBorder="1"/>
    <xf numFmtId="0" fontId="24" fillId="5" borderId="0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0" fillId="5" borderId="0" xfId="0" applyFill="1" applyAlignment="1"/>
    <xf numFmtId="0" fontId="0" fillId="0" borderId="0" xfId="0" applyAlignment="1"/>
    <xf numFmtId="38" fontId="5" fillId="6" borderId="2" xfId="1" applyNumberFormat="1" applyFont="1" applyFill="1" applyBorder="1" applyAlignment="1" applyProtection="1">
      <protection locked="0"/>
    </xf>
    <xf numFmtId="0" fontId="23" fillId="5" borderId="0" xfId="0" applyFont="1" applyFill="1" applyBorder="1" applyAlignment="1">
      <alignment horizontal="left"/>
    </xf>
    <xf numFmtId="0" fontId="23" fillId="5" borderId="59" xfId="0" applyFont="1" applyFill="1" applyBorder="1" applyAlignment="1">
      <alignment horizontal="left"/>
    </xf>
    <xf numFmtId="179" fontId="26" fillId="5" borderId="0" xfId="0" applyNumberFormat="1" applyFont="1" applyFill="1" applyBorder="1" applyAlignment="1">
      <alignment horizontal="right" vertical="top"/>
    </xf>
    <xf numFmtId="179" fontId="26" fillId="5" borderId="59" xfId="0" applyNumberFormat="1" applyFont="1" applyFill="1" applyBorder="1" applyAlignment="1">
      <alignment horizontal="right" vertical="top"/>
    </xf>
    <xf numFmtId="179" fontId="16" fillId="0" borderId="43" xfId="0" applyNumberFormat="1" applyFont="1" applyBorder="1" applyAlignment="1">
      <alignment horizontal="right" shrinkToFit="1"/>
    </xf>
    <xf numFmtId="179" fontId="16" fillId="0" borderId="44" xfId="0" applyNumberFormat="1" applyFont="1" applyBorder="1" applyAlignment="1">
      <alignment horizontal="right" shrinkToFit="1"/>
    </xf>
    <xf numFmtId="179" fontId="16" fillId="0" borderId="52" xfId="0" applyNumberFormat="1" applyFont="1" applyBorder="1" applyAlignment="1">
      <alignment horizontal="right" shrinkToFit="1"/>
    </xf>
    <xf numFmtId="179" fontId="16" fillId="0" borderId="39" xfId="0" applyNumberFormat="1" applyFont="1" applyBorder="1" applyAlignment="1">
      <alignment horizontal="right" shrinkToFit="1"/>
    </xf>
    <xf numFmtId="0" fontId="22" fillId="4" borderId="60" xfId="0" applyFont="1" applyFill="1" applyBorder="1" applyAlignment="1">
      <alignment horizontal="center" vertical="center"/>
    </xf>
    <xf numFmtId="0" fontId="22" fillId="4" borderId="61" xfId="0" applyFont="1" applyFill="1" applyBorder="1" applyAlignment="1">
      <alignment horizontal="center" vertical="center"/>
    </xf>
    <xf numFmtId="0" fontId="22" fillId="4" borderId="54" xfId="0" applyFont="1" applyFill="1" applyBorder="1" applyAlignment="1">
      <alignment horizontal="center" vertical="center"/>
    </xf>
    <xf numFmtId="0" fontId="22" fillId="4" borderId="55" xfId="0" applyFont="1" applyFill="1" applyBorder="1" applyAlignment="1">
      <alignment horizontal="center" vertical="center"/>
    </xf>
    <xf numFmtId="179" fontId="16" fillId="0" borderId="53" xfId="0" applyNumberFormat="1" applyFont="1" applyBorder="1" applyAlignment="1">
      <alignment horizontal="right" shrinkToFit="1"/>
    </xf>
    <xf numFmtId="179" fontId="16" fillId="0" borderId="41" xfId="0" applyNumberFormat="1" applyFont="1" applyBorder="1" applyAlignment="1">
      <alignment horizontal="right" shrinkToFit="1"/>
    </xf>
    <xf numFmtId="179" fontId="16" fillId="0" borderId="45" xfId="0" applyNumberFormat="1" applyFont="1" applyBorder="1" applyAlignment="1">
      <alignment horizontal="right" shrinkToFit="1"/>
    </xf>
    <xf numFmtId="179" fontId="16" fillId="0" borderId="40" xfId="0" applyNumberFormat="1" applyFont="1" applyBorder="1" applyAlignment="1">
      <alignment horizontal="right" shrinkToFit="1"/>
    </xf>
    <xf numFmtId="179" fontId="16" fillId="0" borderId="42" xfId="0" applyNumberFormat="1" applyFont="1" applyBorder="1" applyAlignment="1">
      <alignment horizontal="right" shrinkToFit="1"/>
    </xf>
    <xf numFmtId="179" fontId="16" fillId="0" borderId="38" xfId="0" applyNumberFormat="1" applyFont="1" applyBorder="1" applyAlignment="1">
      <alignment horizontal="right" shrinkToFit="1"/>
    </xf>
    <xf numFmtId="179" fontId="16" fillId="0" borderId="62" xfId="0" applyNumberFormat="1" applyFont="1" applyBorder="1" applyAlignment="1">
      <alignment horizontal="right" shrinkToFit="1"/>
    </xf>
    <xf numFmtId="179" fontId="16" fillId="0" borderId="56" xfId="0" applyNumberFormat="1" applyFont="1" applyBorder="1" applyAlignment="1">
      <alignment horizontal="right"/>
    </xf>
    <xf numFmtId="179" fontId="16" fillId="0" borderId="57" xfId="0" applyNumberFormat="1" applyFont="1" applyBorder="1" applyAlignment="1">
      <alignment horizontal="right"/>
    </xf>
    <xf numFmtId="179" fontId="16" fillId="0" borderId="52" xfId="0" applyNumberFormat="1" applyFont="1" applyBorder="1" applyAlignment="1">
      <alignment horizontal="right"/>
    </xf>
    <xf numFmtId="179" fontId="16" fillId="0" borderId="39" xfId="0" applyNumberFormat="1" applyFont="1" applyBorder="1" applyAlignment="1">
      <alignment horizontal="right"/>
    </xf>
    <xf numFmtId="179" fontId="16" fillId="0" borderId="53" xfId="0" applyNumberFormat="1" applyFont="1" applyBorder="1" applyAlignment="1">
      <alignment horizontal="right"/>
    </xf>
    <xf numFmtId="179" fontId="16" fillId="0" borderId="41" xfId="0" applyNumberFormat="1" applyFont="1" applyBorder="1" applyAlignment="1">
      <alignment horizontal="right"/>
    </xf>
    <xf numFmtId="0" fontId="23" fillId="4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/>
    </xf>
    <xf numFmtId="0" fontId="22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4" borderId="49" xfId="0" applyFont="1" applyFill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22" fillId="4" borderId="46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/>
    </xf>
    <xf numFmtId="179" fontId="16" fillId="0" borderId="58" xfId="0" applyNumberFormat="1" applyFont="1" applyBorder="1" applyAlignment="1">
      <alignment horizontal="right"/>
    </xf>
    <xf numFmtId="179" fontId="16" fillId="0" borderId="40" xfId="0" applyNumberFormat="1" applyFont="1" applyBorder="1" applyAlignment="1">
      <alignment horizontal="right"/>
    </xf>
    <xf numFmtId="179" fontId="16" fillId="0" borderId="42" xfId="0" applyNumberFormat="1" applyFont="1" applyBorder="1" applyAlignment="1">
      <alignment horizontal="right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2</xdr:col>
      <xdr:colOff>33401</xdr:colOff>
      <xdr:row>35</xdr:row>
      <xdr:rowOff>13608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3955" y="9299864"/>
          <a:ext cx="951264" cy="1018062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357190</xdr:colOff>
      <xdr:row>34</xdr:row>
      <xdr:rowOff>23812</xdr:rowOff>
    </xdr:from>
    <xdr:to>
      <xdr:col>11</xdr:col>
      <xdr:colOff>9591</xdr:colOff>
      <xdr:row>35</xdr:row>
      <xdr:rowOff>37420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311315" y="13096875"/>
          <a:ext cx="1224026" cy="101373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269874</xdr:colOff>
      <xdr:row>2</xdr:row>
      <xdr:rowOff>158750</xdr:rowOff>
    </xdr:from>
    <xdr:to>
      <xdr:col>20</xdr:col>
      <xdr:colOff>619124</xdr:colOff>
      <xdr:row>8</xdr:row>
      <xdr:rowOff>222250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6F907-B217-C6E5-FB10-72A7BFF968AC}"/>
            </a:ext>
          </a:extLst>
        </xdr:cNvPr>
        <xdr:cNvSpPr txBox="1"/>
      </xdr:nvSpPr>
      <xdr:spPr>
        <a:xfrm>
          <a:off x="15906749" y="968375"/>
          <a:ext cx="5127625" cy="301625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</a:rPr>
            <a:t>軽減額は自動計算で算出していますが、金額に誤りがないか</a:t>
          </a:r>
          <a:r>
            <a:rPr kumimoji="1" lang="ja-JP" altLang="ja-JP" sz="3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</a:t>
          </a:r>
          <a:r>
            <a:rPr kumimoji="1" lang="en-US" altLang="ja-JP" sz="3200">
              <a:solidFill>
                <a:srgbClr val="FF0000"/>
              </a:solidFill>
            </a:rPr>
            <a:t>1</a:t>
          </a:r>
          <a:r>
            <a:rPr kumimoji="1" lang="ja-JP" altLang="en-US" sz="3200">
              <a:solidFill>
                <a:srgbClr val="FF0000"/>
              </a:solidFill>
            </a:rPr>
            <a:t>つずつ確認すること。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2"/>
  <sheetViews>
    <sheetView showGridLines="0" tabSelected="1" view="pageBreakPreview" topLeftCell="A43" zoomScale="55" zoomScaleNormal="85" zoomScaleSheetLayoutView="55" workbookViewId="0">
      <selection activeCell="C25" sqref="C25"/>
    </sheetView>
  </sheetViews>
  <sheetFormatPr defaultRowHeight="18.75" x14ac:dyDescent="0.4"/>
  <cols>
    <col min="1" max="1" width="10.625" customWidth="1"/>
    <col min="2" max="4" width="15.625" customWidth="1"/>
    <col min="5" max="9" width="20.625" customWidth="1"/>
    <col min="10" max="10" width="22.625" bestFit="1" customWidth="1"/>
    <col min="11" max="11" width="24.25" customWidth="1"/>
    <col min="12" max="12" width="10.625" customWidth="1"/>
    <col min="14" max="14" width="9.375" bestFit="1" customWidth="1"/>
    <col min="15" max="15" width="15.125" bestFit="1" customWidth="1"/>
    <col min="16" max="18" width="9.25" bestFit="1" customWidth="1"/>
  </cols>
  <sheetData>
    <row r="1" spans="1:12" x14ac:dyDescent="0.4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x14ac:dyDescent="0.4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8.75" customHeight="1" x14ac:dyDescent="0.85">
      <c r="A3" s="96"/>
      <c r="B3" s="150" t="s">
        <v>100</v>
      </c>
      <c r="C3" s="150"/>
      <c r="D3" s="150"/>
      <c r="E3" s="150"/>
      <c r="F3" s="150"/>
      <c r="G3" s="150"/>
      <c r="H3" s="150"/>
      <c r="I3" s="150"/>
      <c r="J3" s="150"/>
      <c r="K3" s="150"/>
      <c r="L3" s="95"/>
    </row>
    <row r="4" spans="1:12" ht="22.5" customHeight="1" x14ac:dyDescent="0.85">
      <c r="A4" s="96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95"/>
    </row>
    <row r="5" spans="1:12" x14ac:dyDescent="0.4">
      <c r="A5" s="95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95"/>
    </row>
    <row r="6" spans="1:12" x14ac:dyDescent="0.4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2" x14ac:dyDescent="0.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2" x14ac:dyDescent="0.4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s="77" customFormat="1" ht="39.75" x14ac:dyDescent="0.8">
      <c r="A9" s="97"/>
      <c r="B9" s="98" t="s">
        <v>24</v>
      </c>
      <c r="C9" s="97"/>
      <c r="D9" s="97"/>
      <c r="E9" s="97"/>
      <c r="F9" s="97"/>
      <c r="G9" s="97"/>
      <c r="H9" s="97"/>
      <c r="I9" s="97"/>
      <c r="J9" s="97"/>
      <c r="K9" s="97"/>
      <c r="L9" s="97"/>
    </row>
    <row r="10" spans="1:12" s="77" customFormat="1" ht="39.75" x14ac:dyDescent="0.8">
      <c r="A10" s="97"/>
      <c r="B10" s="99" t="s">
        <v>105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</row>
    <row r="11" spans="1:12" s="77" customFormat="1" ht="39.75" x14ac:dyDescent="0.8">
      <c r="A11" s="97"/>
      <c r="B11" s="99" t="s">
        <v>33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25.5" x14ac:dyDescent="0.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95"/>
    </row>
    <row r="13" spans="1:12" ht="25.5" x14ac:dyDescent="0.5">
      <c r="A13" s="100"/>
      <c r="B13" s="100"/>
      <c r="C13" s="100"/>
      <c r="D13" s="100"/>
      <c r="E13" s="100"/>
      <c r="F13" s="100"/>
      <c r="G13" s="100"/>
      <c r="H13" s="101"/>
      <c r="I13" s="100"/>
      <c r="J13" s="100"/>
      <c r="K13" s="100"/>
      <c r="L13" s="95"/>
    </row>
    <row r="14" spans="1:12" ht="48.75" x14ac:dyDescent="0.95">
      <c r="A14" s="95"/>
      <c r="B14" s="102" t="s">
        <v>32</v>
      </c>
      <c r="C14" s="103"/>
      <c r="D14" s="103"/>
      <c r="E14" s="103"/>
      <c r="F14" s="103"/>
      <c r="G14" s="100"/>
      <c r="H14" s="100"/>
      <c r="I14" s="100"/>
      <c r="J14" s="100"/>
      <c r="K14" s="100"/>
      <c r="L14" s="100"/>
    </row>
    <row r="15" spans="1:12" ht="35.25" x14ac:dyDescent="0.5">
      <c r="A15" s="95"/>
      <c r="B15" s="104" t="s">
        <v>101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spans="1:12" ht="35.25" x14ac:dyDescent="0.5">
      <c r="A16" s="95"/>
      <c r="B16" s="104" t="s">
        <v>102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1:19" ht="35.25" x14ac:dyDescent="0.5">
      <c r="A17" s="95"/>
      <c r="B17" s="104" t="s">
        <v>30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1:19" ht="35.25" x14ac:dyDescent="0.5">
      <c r="A18" s="95"/>
      <c r="B18" s="104" t="s">
        <v>31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1:19" ht="35.25" x14ac:dyDescent="0.5">
      <c r="A19" s="95"/>
      <c r="B19" s="104" t="s">
        <v>111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pans="1:19" ht="35.25" x14ac:dyDescent="0.5">
      <c r="A20" s="95"/>
      <c r="B20" s="104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1:19" ht="25.5" x14ac:dyDescent="0.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95"/>
    </row>
    <row r="22" spans="1:19" ht="26.25" thickBot="1" x14ac:dyDescent="0.55000000000000004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95"/>
    </row>
    <row r="23" spans="1:19" s="76" customFormat="1" ht="33.75" thickBot="1" x14ac:dyDescent="0.7">
      <c r="A23" s="105"/>
      <c r="B23" s="106"/>
      <c r="C23" s="78" t="s">
        <v>21</v>
      </c>
      <c r="D23" s="78" t="s">
        <v>22</v>
      </c>
      <c r="E23" s="152" t="s">
        <v>23</v>
      </c>
      <c r="F23" s="153"/>
      <c r="G23" s="153"/>
      <c r="H23" s="153"/>
      <c r="I23" s="154"/>
      <c r="J23" s="107"/>
      <c r="K23" s="107"/>
      <c r="L23" s="108"/>
    </row>
    <row r="24" spans="1:19" s="79" customFormat="1" ht="60" customHeight="1" thickBot="1" x14ac:dyDescent="0.45">
      <c r="A24" s="109"/>
      <c r="B24" s="80"/>
      <c r="C24" s="81" t="s">
        <v>20</v>
      </c>
      <c r="D24" s="82" t="s">
        <v>0</v>
      </c>
      <c r="E24" s="82" t="s">
        <v>1</v>
      </c>
      <c r="F24" s="82" t="s">
        <v>2</v>
      </c>
      <c r="G24" s="82" t="s">
        <v>3</v>
      </c>
      <c r="H24" s="82" t="s">
        <v>4</v>
      </c>
      <c r="I24" s="81" t="s">
        <v>7</v>
      </c>
      <c r="J24" s="82" t="s">
        <v>5</v>
      </c>
      <c r="K24" s="81" t="s">
        <v>98</v>
      </c>
      <c r="L24" s="109"/>
    </row>
    <row r="25" spans="1:19" s="79" customFormat="1" ht="39.950000000000003" customHeight="1" thickBot="1" x14ac:dyDescent="0.7">
      <c r="A25" s="109"/>
      <c r="B25" s="82" t="s">
        <v>6</v>
      </c>
      <c r="C25" s="111"/>
      <c r="D25" s="83"/>
      <c r="E25" s="84"/>
      <c r="F25" s="85">
        <f>所得計算!H3</f>
        <v>0</v>
      </c>
      <c r="G25" s="84"/>
      <c r="H25" s="85">
        <f>所得計算!L12</f>
        <v>0</v>
      </c>
      <c r="I25" s="84"/>
      <c r="J25" s="85">
        <f>SUM(F25,H25,I25)</f>
        <v>0</v>
      </c>
      <c r="K25" s="86" t="str">
        <f>IF(C25="〇",MAX(J25-430000,0),"0")</f>
        <v>0</v>
      </c>
      <c r="L25" s="109"/>
      <c r="Q25" s="87"/>
      <c r="R25" s="87"/>
      <c r="S25" s="87"/>
    </row>
    <row r="26" spans="1:19" s="79" customFormat="1" ht="39.950000000000003" customHeight="1" thickBot="1" x14ac:dyDescent="0.7">
      <c r="A26" s="109"/>
      <c r="B26" s="82" t="s">
        <v>25</v>
      </c>
      <c r="C26" s="111"/>
      <c r="D26" s="88"/>
      <c r="E26" s="89"/>
      <c r="F26" s="85">
        <f>所得計算!H4</f>
        <v>0</v>
      </c>
      <c r="G26" s="89"/>
      <c r="H26" s="85">
        <f>所得計算!L13</f>
        <v>0</v>
      </c>
      <c r="I26" s="89"/>
      <c r="J26" s="85">
        <f t="shared" ref="J26:J30" si="0">SUM(F26,H26,I26)</f>
        <v>0</v>
      </c>
      <c r="K26" s="86" t="str">
        <f t="shared" ref="K26:K30" si="1">IF(C26="〇",MAX(J26-430000,0),"0")</f>
        <v>0</v>
      </c>
      <c r="L26" s="109"/>
      <c r="Q26" s="90"/>
      <c r="R26" s="90"/>
      <c r="S26" s="90"/>
    </row>
    <row r="27" spans="1:19" s="79" customFormat="1" ht="39.950000000000003" customHeight="1" thickBot="1" x14ac:dyDescent="0.7">
      <c r="A27" s="109"/>
      <c r="B27" s="82" t="s">
        <v>26</v>
      </c>
      <c r="C27" s="111" t="s">
        <v>97</v>
      </c>
      <c r="D27" s="88"/>
      <c r="E27" s="89"/>
      <c r="F27" s="85">
        <f>所得計算!H5</f>
        <v>0</v>
      </c>
      <c r="G27" s="89"/>
      <c r="H27" s="85">
        <f>所得計算!L14</f>
        <v>0</v>
      </c>
      <c r="I27" s="89"/>
      <c r="J27" s="85">
        <f t="shared" si="0"/>
        <v>0</v>
      </c>
      <c r="K27" s="86" t="str">
        <f t="shared" si="1"/>
        <v>0</v>
      </c>
      <c r="L27" s="109"/>
      <c r="Q27" s="90"/>
      <c r="R27" s="90"/>
      <c r="S27" s="90"/>
    </row>
    <row r="28" spans="1:19" s="79" customFormat="1" ht="39.950000000000003" customHeight="1" thickBot="1" x14ac:dyDescent="0.7">
      <c r="A28" s="109"/>
      <c r="B28" s="82" t="s">
        <v>27</v>
      </c>
      <c r="C28" s="111" t="s">
        <v>97</v>
      </c>
      <c r="D28" s="88"/>
      <c r="E28" s="89"/>
      <c r="F28" s="85">
        <f>所得計算!H6</f>
        <v>0</v>
      </c>
      <c r="G28" s="89"/>
      <c r="H28" s="85">
        <f>所得計算!L15</f>
        <v>0</v>
      </c>
      <c r="I28" s="89"/>
      <c r="J28" s="85">
        <f t="shared" si="0"/>
        <v>0</v>
      </c>
      <c r="K28" s="86" t="str">
        <f t="shared" si="1"/>
        <v>0</v>
      </c>
      <c r="L28" s="109"/>
    </row>
    <row r="29" spans="1:19" s="79" customFormat="1" ht="39.950000000000003" customHeight="1" thickBot="1" x14ac:dyDescent="0.7">
      <c r="A29" s="109"/>
      <c r="B29" s="82" t="s">
        <v>28</v>
      </c>
      <c r="C29" s="111"/>
      <c r="D29" s="88"/>
      <c r="E29" s="89"/>
      <c r="F29" s="85">
        <f>所得計算!H7</f>
        <v>0</v>
      </c>
      <c r="G29" s="89"/>
      <c r="H29" s="85">
        <f>所得計算!L16</f>
        <v>0</v>
      </c>
      <c r="I29" s="89"/>
      <c r="J29" s="85">
        <f t="shared" si="0"/>
        <v>0</v>
      </c>
      <c r="K29" s="86" t="str">
        <f t="shared" si="1"/>
        <v>0</v>
      </c>
      <c r="L29" s="109"/>
      <c r="Q29" s="90"/>
      <c r="R29" s="90"/>
    </row>
    <row r="30" spans="1:19" s="79" customFormat="1" ht="39.950000000000003" customHeight="1" thickBot="1" x14ac:dyDescent="0.7">
      <c r="A30" s="109"/>
      <c r="B30" s="82" t="s">
        <v>29</v>
      </c>
      <c r="C30" s="114" t="s">
        <v>97</v>
      </c>
      <c r="D30" s="91"/>
      <c r="E30" s="92"/>
      <c r="F30" s="93">
        <f>所得計算!H8</f>
        <v>0</v>
      </c>
      <c r="G30" s="92"/>
      <c r="H30" s="93">
        <f>所得計算!L17</f>
        <v>0</v>
      </c>
      <c r="I30" s="92"/>
      <c r="J30" s="93">
        <f t="shared" si="0"/>
        <v>0</v>
      </c>
      <c r="K30" s="94" t="str">
        <f t="shared" si="1"/>
        <v>0</v>
      </c>
      <c r="L30" s="109"/>
    </row>
    <row r="31" spans="1:19" ht="15" customHeight="1" x14ac:dyDescent="0.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95"/>
    </row>
    <row r="32" spans="1:19" ht="15" customHeight="1" x14ac:dyDescent="0.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95"/>
    </row>
    <row r="33" spans="1:12" s="119" customFormat="1" ht="15" customHeight="1" x14ac:dyDescent="0.5">
      <c r="A33" s="118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0"/>
    </row>
    <row r="34" spans="1:12" s="119" customFormat="1" ht="15" customHeight="1" x14ac:dyDescent="0.5">
      <c r="A34" s="118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10"/>
    </row>
    <row r="35" spans="1:12" s="119" customFormat="1" ht="80.099999999999994" customHeight="1" x14ac:dyDescent="1.45">
      <c r="A35" s="110"/>
      <c r="B35" s="151" t="s">
        <v>85</v>
      </c>
      <c r="C35" s="151"/>
      <c r="D35" s="151"/>
      <c r="E35" s="151"/>
      <c r="F35" s="151"/>
      <c r="G35" s="151"/>
      <c r="H35" s="151"/>
      <c r="I35" s="151"/>
      <c r="J35" s="151"/>
      <c r="K35" s="151"/>
      <c r="L35" s="110"/>
    </row>
    <row r="36" spans="1:12" s="119" customFormat="1" x14ac:dyDescent="0.4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1:12" x14ac:dyDescent="0.4">
      <c r="A37" s="95"/>
      <c r="B37" s="110"/>
      <c r="C37" s="110"/>
      <c r="D37" s="110"/>
      <c r="E37" s="110"/>
      <c r="F37" s="110"/>
      <c r="G37" s="110"/>
      <c r="H37" s="110"/>
      <c r="I37" s="110"/>
      <c r="J37" s="110"/>
      <c r="K37" s="95"/>
      <c r="L37" s="95"/>
    </row>
    <row r="38" spans="1:12" x14ac:dyDescent="0.4">
      <c r="A38" s="95"/>
      <c r="B38" s="110"/>
      <c r="C38" s="110"/>
      <c r="D38" s="110"/>
      <c r="E38" s="110"/>
      <c r="F38" s="110"/>
      <c r="G38" s="110"/>
      <c r="H38" s="110"/>
      <c r="I38" s="110"/>
      <c r="J38" s="110"/>
      <c r="K38" s="95"/>
      <c r="L38" s="95"/>
    </row>
    <row r="39" spans="1:12" ht="19.5" thickBot="1" x14ac:dyDescent="0.45">
      <c r="A39" s="95"/>
      <c r="B39" s="110"/>
      <c r="C39" s="110"/>
      <c r="D39" s="110"/>
      <c r="E39" s="110"/>
      <c r="F39" s="110"/>
      <c r="G39" s="110"/>
      <c r="H39" s="110"/>
      <c r="I39" s="110"/>
      <c r="J39" s="110"/>
      <c r="K39" s="95"/>
      <c r="L39" s="95"/>
    </row>
    <row r="40" spans="1:12" ht="18.75" customHeight="1" thickTop="1" thickBot="1" x14ac:dyDescent="0.45">
      <c r="A40" s="95"/>
      <c r="B40" s="162" t="s">
        <v>93</v>
      </c>
      <c r="C40" s="162"/>
      <c r="D40" s="155" t="s">
        <v>90</v>
      </c>
      <c r="E40" s="156"/>
      <c r="F40" s="156" t="s">
        <v>91</v>
      </c>
      <c r="G40" s="156"/>
      <c r="H40" s="161" t="s">
        <v>92</v>
      </c>
      <c r="I40" s="156"/>
      <c r="J40" s="161" t="s">
        <v>112</v>
      </c>
      <c r="K40" s="156"/>
    </row>
    <row r="41" spans="1:12" ht="20.25" customHeight="1" thickTop="1" thickBot="1" x14ac:dyDescent="0.45">
      <c r="A41" s="95"/>
      <c r="B41" s="162"/>
      <c r="C41" s="162"/>
      <c r="D41" s="157"/>
      <c r="E41" s="158"/>
      <c r="F41" s="158"/>
      <c r="G41" s="158"/>
      <c r="H41" s="158"/>
      <c r="I41" s="158"/>
      <c r="J41" s="158"/>
      <c r="K41" s="158"/>
    </row>
    <row r="42" spans="1:12" ht="19.5" customHeight="1" thickTop="1" thickBot="1" x14ac:dyDescent="0.45">
      <c r="A42" s="95"/>
      <c r="B42" s="162"/>
      <c r="C42" s="162"/>
      <c r="D42" s="157"/>
      <c r="E42" s="158"/>
      <c r="F42" s="158"/>
      <c r="G42" s="158"/>
      <c r="H42" s="158"/>
      <c r="I42" s="158"/>
      <c r="J42" s="158"/>
      <c r="K42" s="158"/>
    </row>
    <row r="43" spans="1:12" ht="19.5" customHeight="1" thickTop="1" thickBot="1" x14ac:dyDescent="0.45">
      <c r="A43" s="95"/>
      <c r="B43" s="162"/>
      <c r="C43" s="162"/>
      <c r="D43" s="159"/>
      <c r="E43" s="160"/>
      <c r="F43" s="160"/>
      <c r="G43" s="160"/>
      <c r="H43" s="160"/>
      <c r="I43" s="160"/>
      <c r="J43" s="160"/>
      <c r="K43" s="160"/>
    </row>
    <row r="44" spans="1:12" ht="19.5" customHeight="1" thickTop="1" thickBot="1" x14ac:dyDescent="0.45">
      <c r="A44" s="95"/>
      <c r="B44" s="135" t="s">
        <v>86</v>
      </c>
      <c r="C44" s="136"/>
      <c r="D44" s="129">
        <f>SUM(保険料計算!B5:B10)</f>
        <v>0</v>
      </c>
      <c r="E44" s="130"/>
      <c r="F44" s="130">
        <f>SUM(保険料計算!B13:B18)</f>
        <v>0</v>
      </c>
      <c r="G44" s="130"/>
      <c r="H44" s="130">
        <f>SUM(保険料計算!B21:B26)</f>
        <v>0</v>
      </c>
      <c r="I44" s="139"/>
      <c r="J44" s="130">
        <f>SUM(保険料計算!B31:B36)</f>
        <v>0</v>
      </c>
      <c r="K44" s="139"/>
    </row>
    <row r="45" spans="1:12" ht="19.5" customHeight="1" thickTop="1" thickBot="1" x14ac:dyDescent="0.45">
      <c r="A45" s="95"/>
      <c r="B45" s="135"/>
      <c r="C45" s="136"/>
      <c r="D45" s="131"/>
      <c r="E45" s="132"/>
      <c r="F45" s="132"/>
      <c r="G45" s="132"/>
      <c r="H45" s="132"/>
      <c r="I45" s="140"/>
      <c r="J45" s="132"/>
      <c r="K45" s="140"/>
    </row>
    <row r="46" spans="1:12" ht="19.5" customHeight="1" thickTop="1" thickBot="1" x14ac:dyDescent="0.45">
      <c r="A46" s="95"/>
      <c r="B46" s="135"/>
      <c r="C46" s="136"/>
      <c r="D46" s="131"/>
      <c r="E46" s="132"/>
      <c r="F46" s="132"/>
      <c r="G46" s="132"/>
      <c r="H46" s="132"/>
      <c r="I46" s="140"/>
      <c r="J46" s="132"/>
      <c r="K46" s="140"/>
    </row>
    <row r="47" spans="1:12" ht="19.5" customHeight="1" thickTop="1" thickBot="1" x14ac:dyDescent="0.45">
      <c r="A47" s="95"/>
      <c r="B47" s="135"/>
      <c r="C47" s="136"/>
      <c r="D47" s="131"/>
      <c r="E47" s="132"/>
      <c r="F47" s="132"/>
      <c r="G47" s="132"/>
      <c r="H47" s="132"/>
      <c r="I47" s="140"/>
      <c r="J47" s="132"/>
      <c r="K47" s="140"/>
    </row>
    <row r="48" spans="1:12" ht="19.5" customHeight="1" thickTop="1" thickBot="1" x14ac:dyDescent="0.45">
      <c r="A48" s="95"/>
      <c r="B48" s="135" t="s">
        <v>87</v>
      </c>
      <c r="C48" s="136"/>
      <c r="D48" s="131">
        <f>SUM(保険料計算!C5:J10)</f>
        <v>0</v>
      </c>
      <c r="E48" s="132"/>
      <c r="F48" s="132">
        <f>SUM(保険料計算!C13:J18)</f>
        <v>0</v>
      </c>
      <c r="G48" s="132"/>
      <c r="H48" s="132">
        <f>SUM(保険料計算!C21:F26)</f>
        <v>0</v>
      </c>
      <c r="I48" s="140"/>
      <c r="J48" s="132">
        <f>SUM(保険料計算!C31:F36)</f>
        <v>0</v>
      </c>
      <c r="K48" s="140"/>
    </row>
    <row r="49" spans="1:12" ht="19.5" customHeight="1" thickTop="1" thickBot="1" x14ac:dyDescent="0.45">
      <c r="A49" s="95"/>
      <c r="B49" s="135"/>
      <c r="C49" s="136"/>
      <c r="D49" s="131"/>
      <c r="E49" s="132"/>
      <c r="F49" s="132"/>
      <c r="G49" s="132"/>
      <c r="H49" s="132"/>
      <c r="I49" s="140"/>
      <c r="J49" s="132"/>
      <c r="K49" s="140"/>
    </row>
    <row r="50" spans="1:12" ht="19.5" customHeight="1" thickTop="1" thickBot="1" x14ac:dyDescent="0.45">
      <c r="A50" s="95"/>
      <c r="B50" s="135"/>
      <c r="C50" s="136"/>
      <c r="D50" s="131"/>
      <c r="E50" s="132"/>
      <c r="F50" s="132"/>
      <c r="G50" s="132"/>
      <c r="H50" s="132"/>
      <c r="I50" s="140"/>
      <c r="J50" s="132"/>
      <c r="K50" s="140"/>
    </row>
    <row r="51" spans="1:12" ht="19.5" customHeight="1" thickTop="1" thickBot="1" x14ac:dyDescent="0.45">
      <c r="A51" s="95"/>
      <c r="B51" s="135"/>
      <c r="C51" s="136"/>
      <c r="D51" s="131"/>
      <c r="E51" s="132"/>
      <c r="F51" s="132"/>
      <c r="G51" s="132"/>
      <c r="H51" s="132"/>
      <c r="I51" s="140"/>
      <c r="J51" s="132"/>
      <c r="K51" s="140"/>
    </row>
    <row r="52" spans="1:12" ht="19.5" customHeight="1" thickTop="1" thickBot="1" x14ac:dyDescent="0.45">
      <c r="A52" s="95"/>
      <c r="B52" s="135" t="s">
        <v>88</v>
      </c>
      <c r="C52" s="136"/>
      <c r="D52" s="142">
        <f>SUM(保険料計算!K5:N5)</f>
        <v>0</v>
      </c>
      <c r="E52" s="132"/>
      <c r="F52" s="132">
        <f>SUM(保険料計算!K13:N13)</f>
        <v>0</v>
      </c>
      <c r="G52" s="132"/>
      <c r="H52" s="132">
        <f>SUM(保険料計算!G28:J28)</f>
        <v>0</v>
      </c>
      <c r="I52" s="140"/>
      <c r="J52" s="132">
        <f>SUM(保険料計算!G38:J38)</f>
        <v>0</v>
      </c>
      <c r="K52" s="140"/>
    </row>
    <row r="53" spans="1:12" ht="19.5" customHeight="1" thickTop="1" thickBot="1" x14ac:dyDescent="0.45">
      <c r="A53" s="95"/>
      <c r="B53" s="135"/>
      <c r="C53" s="136"/>
      <c r="D53" s="142"/>
      <c r="E53" s="132"/>
      <c r="F53" s="132"/>
      <c r="G53" s="132"/>
      <c r="H53" s="132"/>
      <c r="I53" s="140"/>
      <c r="J53" s="132"/>
      <c r="K53" s="140"/>
    </row>
    <row r="54" spans="1:12" ht="19.5" customHeight="1" thickTop="1" thickBot="1" x14ac:dyDescent="0.45">
      <c r="A54" s="95"/>
      <c r="B54" s="135"/>
      <c r="C54" s="136"/>
      <c r="D54" s="142"/>
      <c r="E54" s="132"/>
      <c r="F54" s="132"/>
      <c r="G54" s="132"/>
      <c r="H54" s="132"/>
      <c r="I54" s="140"/>
      <c r="J54" s="132"/>
      <c r="K54" s="140"/>
    </row>
    <row r="55" spans="1:12" ht="19.5" customHeight="1" thickTop="1" thickBot="1" x14ac:dyDescent="0.45">
      <c r="A55" s="95"/>
      <c r="B55" s="135"/>
      <c r="C55" s="136"/>
      <c r="D55" s="143"/>
      <c r="E55" s="138"/>
      <c r="F55" s="138"/>
      <c r="G55" s="138"/>
      <c r="H55" s="138"/>
      <c r="I55" s="141"/>
      <c r="J55" s="138"/>
      <c r="K55" s="141"/>
    </row>
    <row r="56" spans="1:12" ht="20.25" thickTop="1" thickBot="1" x14ac:dyDescent="0.45">
      <c r="A56" s="95"/>
      <c r="B56" s="133" t="s">
        <v>94</v>
      </c>
      <c r="C56" s="134"/>
      <c r="D56" s="129">
        <f>SUM(D44:E55)</f>
        <v>0</v>
      </c>
      <c r="E56" s="130"/>
      <c r="F56" s="130">
        <f>SUM(F44:G55)</f>
        <v>0</v>
      </c>
      <c r="G56" s="130"/>
      <c r="H56" s="130">
        <f>SUM(H44:I55)</f>
        <v>0</v>
      </c>
      <c r="I56" s="139"/>
      <c r="J56" s="130">
        <f>SUM(J44:K55)</f>
        <v>0</v>
      </c>
      <c r="K56" s="139"/>
    </row>
    <row r="57" spans="1:12" ht="20.25" thickTop="1" thickBot="1" x14ac:dyDescent="0.45">
      <c r="A57" s="95"/>
      <c r="B57" s="135"/>
      <c r="C57" s="136"/>
      <c r="D57" s="131"/>
      <c r="E57" s="132"/>
      <c r="F57" s="132"/>
      <c r="G57" s="132"/>
      <c r="H57" s="132"/>
      <c r="I57" s="140"/>
      <c r="J57" s="132"/>
      <c r="K57" s="140"/>
    </row>
    <row r="58" spans="1:12" ht="20.25" thickTop="1" thickBot="1" x14ac:dyDescent="0.45">
      <c r="A58" s="95"/>
      <c r="B58" s="135"/>
      <c r="C58" s="136"/>
      <c r="D58" s="131"/>
      <c r="E58" s="132"/>
      <c r="F58" s="132"/>
      <c r="G58" s="132"/>
      <c r="H58" s="132"/>
      <c r="I58" s="140"/>
      <c r="J58" s="132"/>
      <c r="K58" s="140"/>
    </row>
    <row r="59" spans="1:12" ht="20.25" thickTop="1" thickBot="1" x14ac:dyDescent="0.45">
      <c r="A59" s="95"/>
      <c r="B59" s="135"/>
      <c r="C59" s="136"/>
      <c r="D59" s="137"/>
      <c r="E59" s="138"/>
      <c r="F59" s="138"/>
      <c r="G59" s="138"/>
      <c r="H59" s="138"/>
      <c r="I59" s="141"/>
      <c r="J59" s="138"/>
      <c r="K59" s="141"/>
    </row>
    <row r="60" spans="1:12" ht="19.5" customHeight="1" thickTop="1" x14ac:dyDescent="0.4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</row>
    <row r="61" spans="1:12" s="122" customFormat="1" ht="19.5" thickBot="1" x14ac:dyDescent="0.45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</row>
    <row r="62" spans="1:12" ht="20.25" customHeight="1" thickTop="1" thickBot="1" x14ac:dyDescent="0.45">
      <c r="A62" s="95"/>
      <c r="B62" s="135" t="s">
        <v>89</v>
      </c>
      <c r="C62" s="136"/>
      <c r="D62" s="144">
        <f>料率入力欄!G6</f>
        <v>660000</v>
      </c>
      <c r="E62" s="145"/>
      <c r="F62" s="145">
        <f>料率入力欄!G7</f>
        <v>260000</v>
      </c>
      <c r="G62" s="145"/>
      <c r="H62" s="145">
        <f>料率入力欄!G8</f>
        <v>170000</v>
      </c>
      <c r="I62" s="163"/>
      <c r="J62" s="145">
        <f>料率入力欄!G9</f>
        <v>30000</v>
      </c>
      <c r="K62" s="163"/>
    </row>
    <row r="63" spans="1:12" ht="20.25" customHeight="1" thickTop="1" thickBot="1" x14ac:dyDescent="0.45">
      <c r="A63" s="95"/>
      <c r="B63" s="135"/>
      <c r="C63" s="136"/>
      <c r="D63" s="146"/>
      <c r="E63" s="147"/>
      <c r="F63" s="147"/>
      <c r="G63" s="147"/>
      <c r="H63" s="147"/>
      <c r="I63" s="164"/>
      <c r="J63" s="147"/>
      <c r="K63" s="164"/>
    </row>
    <row r="64" spans="1:12" ht="20.25" customHeight="1" thickTop="1" thickBot="1" x14ac:dyDescent="0.45">
      <c r="A64" s="95"/>
      <c r="B64" s="135"/>
      <c r="C64" s="136"/>
      <c r="D64" s="146"/>
      <c r="E64" s="147"/>
      <c r="F64" s="147"/>
      <c r="G64" s="147"/>
      <c r="H64" s="147"/>
      <c r="I64" s="164"/>
      <c r="J64" s="147"/>
      <c r="K64" s="164"/>
    </row>
    <row r="65" spans="1:12" ht="20.25" customHeight="1" thickTop="1" thickBot="1" x14ac:dyDescent="0.45">
      <c r="A65" s="95"/>
      <c r="B65" s="135"/>
      <c r="C65" s="136"/>
      <c r="D65" s="148"/>
      <c r="E65" s="149"/>
      <c r="F65" s="149"/>
      <c r="G65" s="149"/>
      <c r="H65" s="149"/>
      <c r="I65" s="165"/>
      <c r="J65" s="149"/>
      <c r="K65" s="165"/>
    </row>
    <row r="66" spans="1:12" ht="19.5" thickTop="1" x14ac:dyDescent="0.4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</row>
    <row r="67" spans="1:12" x14ac:dyDescent="0.4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</row>
    <row r="68" spans="1:12" x14ac:dyDescent="0.4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</row>
    <row r="69" spans="1:12" x14ac:dyDescent="0.4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</row>
    <row r="70" spans="1:12" x14ac:dyDescent="0.4">
      <c r="A70" s="95"/>
      <c r="B70" s="95"/>
      <c r="C70" s="125" t="s">
        <v>95</v>
      </c>
      <c r="D70" s="125"/>
      <c r="E70" s="125"/>
      <c r="F70" s="125"/>
      <c r="G70" s="125"/>
      <c r="H70" s="127">
        <f>SUM(IF(D56&lt;D62,D56,D62),IF(F56&lt;F62,F56,F62),IF(H56&lt;H62,H56,H62),IF(J56&lt;J62,J56,J62))</f>
        <v>0</v>
      </c>
      <c r="I70" s="127"/>
      <c r="J70" s="127"/>
      <c r="K70" s="95"/>
      <c r="L70" s="95"/>
    </row>
    <row r="71" spans="1:12" x14ac:dyDescent="0.4">
      <c r="A71" s="95"/>
      <c r="B71" s="95"/>
      <c r="C71" s="125"/>
      <c r="D71" s="125"/>
      <c r="E71" s="125"/>
      <c r="F71" s="125"/>
      <c r="G71" s="125"/>
      <c r="H71" s="127"/>
      <c r="I71" s="127"/>
      <c r="J71" s="127"/>
      <c r="K71" s="95"/>
      <c r="L71" s="95"/>
    </row>
    <row r="72" spans="1:12" x14ac:dyDescent="0.4">
      <c r="A72" s="95"/>
      <c r="B72" s="95"/>
      <c r="C72" s="125"/>
      <c r="D72" s="125"/>
      <c r="E72" s="125"/>
      <c r="F72" s="125"/>
      <c r="G72" s="125"/>
      <c r="H72" s="127"/>
      <c r="I72" s="127"/>
      <c r="J72" s="127"/>
      <c r="K72" s="95"/>
      <c r="L72" s="95"/>
    </row>
    <row r="73" spans="1:12" ht="19.5" thickBot="1" x14ac:dyDescent="0.45">
      <c r="A73" s="95"/>
      <c r="B73" s="95"/>
      <c r="C73" s="126"/>
      <c r="D73" s="126"/>
      <c r="E73" s="126"/>
      <c r="F73" s="126"/>
      <c r="G73" s="126"/>
      <c r="H73" s="128"/>
      <c r="I73" s="128"/>
      <c r="J73" s="128"/>
      <c r="K73" s="95"/>
      <c r="L73" s="95"/>
    </row>
    <row r="74" spans="1:12" ht="19.5" thickTop="1" x14ac:dyDescent="0.4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</row>
    <row r="75" spans="1:12" x14ac:dyDescent="0.4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</row>
    <row r="76" spans="1:12" x14ac:dyDescent="0.4">
      <c r="A76" s="95"/>
      <c r="B76" s="95"/>
      <c r="C76" s="125" t="s">
        <v>96</v>
      </c>
      <c r="D76" s="125"/>
      <c r="E76" s="125"/>
      <c r="F76" s="125"/>
      <c r="G76" s="125"/>
      <c r="H76" s="127">
        <f>H70/12</f>
        <v>0</v>
      </c>
      <c r="I76" s="127"/>
      <c r="J76" s="127"/>
      <c r="K76" s="95"/>
      <c r="L76" s="95"/>
    </row>
    <row r="77" spans="1:12" x14ac:dyDescent="0.4">
      <c r="A77" s="95"/>
      <c r="B77" s="95"/>
      <c r="C77" s="125"/>
      <c r="D77" s="125"/>
      <c r="E77" s="125"/>
      <c r="F77" s="125"/>
      <c r="G77" s="125"/>
      <c r="H77" s="127"/>
      <c r="I77" s="127"/>
      <c r="J77" s="127"/>
      <c r="K77" s="95"/>
      <c r="L77" s="95"/>
    </row>
    <row r="78" spans="1:12" x14ac:dyDescent="0.4">
      <c r="A78" s="95"/>
      <c r="B78" s="95"/>
      <c r="C78" s="125"/>
      <c r="D78" s="125"/>
      <c r="E78" s="125"/>
      <c r="F78" s="125"/>
      <c r="G78" s="125"/>
      <c r="H78" s="127"/>
      <c r="I78" s="127"/>
      <c r="J78" s="127"/>
      <c r="K78" s="95"/>
      <c r="L78" s="95"/>
    </row>
    <row r="79" spans="1:12" ht="19.5" thickBot="1" x14ac:dyDescent="0.45">
      <c r="A79" s="95"/>
      <c r="B79" s="95"/>
      <c r="C79" s="126"/>
      <c r="D79" s="126"/>
      <c r="E79" s="126"/>
      <c r="F79" s="126"/>
      <c r="G79" s="126"/>
      <c r="H79" s="128"/>
      <c r="I79" s="128"/>
      <c r="J79" s="128"/>
      <c r="K79" s="95"/>
      <c r="L79" s="95"/>
    </row>
    <row r="80" spans="1:12" ht="19.5" thickTop="1" x14ac:dyDescent="0.4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</row>
    <row r="81" spans="1:12" x14ac:dyDescent="0.4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</row>
    <row r="82" spans="1:12" x14ac:dyDescent="0.4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</row>
  </sheetData>
  <sheetProtection algorithmName="SHA-512" hashValue="2+zlyQIpqAH0gO3oT+UfJ8oIW0weCoE4H/eCFofbIUuk0TYmSv64zwQuiLaEpOvudKLcas/nqdDp0iw5e+4vDQ==" saltValue="rj/1aC+emcplYj+2YYV0Qg==" spinCount="100000" sheet="1" selectLockedCells="1"/>
  <mergeCells count="37">
    <mergeCell ref="J52:K55"/>
    <mergeCell ref="J56:K59"/>
    <mergeCell ref="J62:K65"/>
    <mergeCell ref="F62:G65"/>
    <mergeCell ref="H62:I65"/>
    <mergeCell ref="B3:K5"/>
    <mergeCell ref="B35:K35"/>
    <mergeCell ref="E23:I23"/>
    <mergeCell ref="D48:E51"/>
    <mergeCell ref="D40:E43"/>
    <mergeCell ref="H40:I43"/>
    <mergeCell ref="F40:G43"/>
    <mergeCell ref="B40:C43"/>
    <mergeCell ref="J40:K43"/>
    <mergeCell ref="J44:K47"/>
    <mergeCell ref="J48:K51"/>
    <mergeCell ref="F44:G47"/>
    <mergeCell ref="H44:I47"/>
    <mergeCell ref="B44:C47"/>
    <mergeCell ref="F48:G51"/>
    <mergeCell ref="B48:C51"/>
    <mergeCell ref="C70:G73"/>
    <mergeCell ref="H70:J73"/>
    <mergeCell ref="C76:G79"/>
    <mergeCell ref="H76:J79"/>
    <mergeCell ref="D44:E47"/>
    <mergeCell ref="B56:C59"/>
    <mergeCell ref="D56:E59"/>
    <mergeCell ref="F56:G59"/>
    <mergeCell ref="H56:I59"/>
    <mergeCell ref="B52:C55"/>
    <mergeCell ref="D52:E55"/>
    <mergeCell ref="F52:G55"/>
    <mergeCell ref="H52:I55"/>
    <mergeCell ref="H48:I51"/>
    <mergeCell ref="B62:C65"/>
    <mergeCell ref="D62:E65"/>
  </mergeCells>
  <phoneticPr fontId="1"/>
  <dataValidations count="1">
    <dataValidation type="list" showInputMessage="1" showErrorMessage="1" sqref="C25:C30" xr:uid="{00000000-0002-0000-0000-000000000000}">
      <formula1>"　,〇,×"</formula1>
    </dataValidation>
  </dataValidations>
  <printOptions horizontalCentered="1"/>
  <pageMargins left="0.25" right="0.25" top="0.75" bottom="0.75" header="0.3" footer="0.3"/>
  <pageSetup paperSize="9" scale="36" orientation="portrait" r:id="rId1"/>
  <rowBreaks count="1" manualBreakCount="1">
    <brk id="8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view="pageBreakPreview" zoomScale="45" zoomScaleNormal="100" zoomScaleSheetLayoutView="45" workbookViewId="0">
      <selection activeCell="B12" sqref="B12"/>
    </sheetView>
  </sheetViews>
  <sheetFormatPr defaultRowHeight="18.75" x14ac:dyDescent="0.4"/>
  <cols>
    <col min="1" max="1" width="20.625" style="10" customWidth="1"/>
    <col min="2" max="2" width="22.625" style="10" customWidth="1"/>
    <col min="3" max="15" width="22.625" customWidth="1"/>
  </cols>
  <sheetData>
    <row r="1" spans="1:15" ht="39.950000000000003" customHeight="1" thickBot="1" x14ac:dyDescent="0.75">
      <c r="A1" s="40" t="s">
        <v>54</v>
      </c>
      <c r="B1" s="168" t="s">
        <v>56</v>
      </c>
      <c r="C1" s="169"/>
      <c r="D1" s="169"/>
      <c r="E1" s="169"/>
      <c r="F1" s="170"/>
      <c r="G1" s="166" t="s">
        <v>57</v>
      </c>
      <c r="H1" s="166" t="s">
        <v>58</v>
      </c>
    </row>
    <row r="2" spans="1:15" ht="39.950000000000003" customHeight="1" thickBot="1" x14ac:dyDescent="0.45">
      <c r="A2" s="41" t="s">
        <v>53</v>
      </c>
      <c r="B2" s="20" t="s">
        <v>106</v>
      </c>
      <c r="C2" s="21" t="s">
        <v>107</v>
      </c>
      <c r="D2" s="21" t="s">
        <v>108</v>
      </c>
      <c r="E2" s="21" t="s">
        <v>40</v>
      </c>
      <c r="F2" s="22" t="s">
        <v>41</v>
      </c>
      <c r="G2" s="167"/>
      <c r="H2" s="167"/>
    </row>
    <row r="3" spans="1:15" ht="39.950000000000003" customHeight="1" thickBot="1" x14ac:dyDescent="0.75">
      <c r="A3" s="41" t="s">
        <v>34</v>
      </c>
      <c r="B3" s="23">
        <f>IF(試算シート!E25&lt;1900000,MAX(試算シート!E25-650000,0),"0")</f>
        <v>0</v>
      </c>
      <c r="C3" s="24" t="str">
        <f>IF(AND(1900001&lt;=試算シート!E25,試算シート!E25&lt;=3599999),QUOTIENT(試算シート!E25,4000)*4000*0.7-80000,"0")</f>
        <v>0</v>
      </c>
      <c r="D3" s="24" t="str">
        <f>IF(AND(3600000&lt;=試算シート!E25,試算シート!E25&lt;=6599999),QUOTIENT(試算シート!E25,4000)*4000*0.8-440000,"0")</f>
        <v>0</v>
      </c>
      <c r="E3" s="24" t="str">
        <f>IF(AND(6600000&lt;=試算シート!E25,試算シート!E25&lt;=8500000),試算シート!E25*0.9-1100000,"0")</f>
        <v>0</v>
      </c>
      <c r="F3" s="25" t="str">
        <f>IF(8500001&lt;=試算シート!E25,試算シート!E25-1950000,"0")</f>
        <v>0</v>
      </c>
      <c r="G3" s="38">
        <f t="shared" ref="G3:G8" si="0">SUM(B3:F3)</f>
        <v>0</v>
      </c>
      <c r="H3" s="39">
        <f t="shared" ref="H3:H8" si="1">IF(100000&lt;=SUM(G3,L12),G3-SUM(IF(100000&lt;=G3,100000,G3),IF(100000&lt;=L12,100000,L12)-100000),G3)</f>
        <v>0</v>
      </c>
    </row>
    <row r="4" spans="1:15" ht="39.950000000000003" customHeight="1" thickBot="1" x14ac:dyDescent="0.75">
      <c r="A4" s="41" t="s">
        <v>35</v>
      </c>
      <c r="B4" s="23">
        <f>IF(試算シート!E26&lt;1900000,MAX(試算シート!E26-650000,0),"0")</f>
        <v>0</v>
      </c>
      <c r="C4" s="24" t="str">
        <f>IF(AND(1900001&lt;=試算シート!E26,試算シート!E26&lt;=3599999),QUOTIENT(試算シート!E26,4000)*4000*0.7-80000,"0")</f>
        <v>0</v>
      </c>
      <c r="D4" s="24" t="str">
        <f>IF(AND(3600000&lt;=試算シート!E26,試算シート!E26&lt;=6599999),QUOTIENT(試算シート!E26,4000)*4000*0.8-440000,"0")</f>
        <v>0</v>
      </c>
      <c r="E4" s="24" t="str">
        <f>IF(AND(6600000&lt;=試算シート!E26,試算シート!E26&lt;=8500000),試算シート!E26*0.9-1100000,"0")</f>
        <v>0</v>
      </c>
      <c r="F4" s="25" t="str">
        <f>IF(8500001&lt;=試算シート!E26,試算シート!E26-1950000,"0")</f>
        <v>0</v>
      </c>
      <c r="G4" s="38">
        <f t="shared" si="0"/>
        <v>0</v>
      </c>
      <c r="H4" s="39">
        <f t="shared" si="1"/>
        <v>0</v>
      </c>
    </row>
    <row r="5" spans="1:15" ht="39.950000000000003" customHeight="1" thickBot="1" x14ac:dyDescent="0.75">
      <c r="A5" s="41" t="s">
        <v>36</v>
      </c>
      <c r="B5" s="23">
        <f>IF(試算シート!E27&lt;1900000,MAX(試算シート!E27-650000,0),"0")</f>
        <v>0</v>
      </c>
      <c r="C5" s="24" t="str">
        <f>IF(AND(1900001&lt;=試算シート!E27,試算シート!E27&lt;=3599999),QUOTIENT(試算シート!E27,4000)*4000*0.7-80000,"0")</f>
        <v>0</v>
      </c>
      <c r="D5" s="24" t="str">
        <f>IF(AND(3600000&lt;=試算シート!E27,試算シート!E27&lt;=6599999),QUOTIENT(試算シート!E27,4000)*4000*0.8-440000,"0")</f>
        <v>0</v>
      </c>
      <c r="E5" s="24" t="str">
        <f>IF(AND(6600000&lt;=試算シート!E27,試算シート!E27&lt;=8500000),試算シート!E27*0.9-1100000,"0")</f>
        <v>0</v>
      </c>
      <c r="F5" s="25" t="str">
        <f>IF(8500001&lt;=試算シート!E27,試算シート!E27-1950000,"0")</f>
        <v>0</v>
      </c>
      <c r="G5" s="38">
        <f t="shared" si="0"/>
        <v>0</v>
      </c>
      <c r="H5" s="39">
        <f t="shared" si="1"/>
        <v>0</v>
      </c>
    </row>
    <row r="6" spans="1:15" ht="39.950000000000003" customHeight="1" thickBot="1" x14ac:dyDescent="0.75">
      <c r="A6" s="41" t="s">
        <v>37</v>
      </c>
      <c r="B6" s="23">
        <f>IF(試算シート!E28&lt;1900000,MAX(試算シート!E28-650000,0),"0")</f>
        <v>0</v>
      </c>
      <c r="C6" s="24" t="str">
        <f>IF(AND(1900001&lt;=試算シート!E28,試算シート!E28&lt;=3599999),QUOTIENT(試算シート!E28,4000)*4000*0.7-80000,"0")</f>
        <v>0</v>
      </c>
      <c r="D6" s="24" t="str">
        <f>IF(AND(3600000&lt;=試算シート!E28,試算シート!E28&lt;=6599999),QUOTIENT(試算シート!E28,4000)*4000*0.8-440000,"0")</f>
        <v>0</v>
      </c>
      <c r="E6" s="24" t="str">
        <f>IF(AND(6600000&lt;=試算シート!E28,試算シート!E28&lt;=8500000),試算シート!E28*0.9-1100000,"0")</f>
        <v>0</v>
      </c>
      <c r="F6" s="25" t="str">
        <f>IF(8500001&lt;=試算シート!E28,試算シート!E28-1950000,"0")</f>
        <v>0</v>
      </c>
      <c r="G6" s="38">
        <f t="shared" si="0"/>
        <v>0</v>
      </c>
      <c r="H6" s="39">
        <f t="shared" si="1"/>
        <v>0</v>
      </c>
    </row>
    <row r="7" spans="1:15" ht="39.950000000000003" customHeight="1" thickBot="1" x14ac:dyDescent="0.75">
      <c r="A7" s="41" t="s">
        <v>38</v>
      </c>
      <c r="B7" s="23">
        <f>IF(試算シート!E29&lt;1900000,MAX(試算シート!E29-650000,0),"0")</f>
        <v>0</v>
      </c>
      <c r="C7" s="24" t="str">
        <f>IF(AND(1900001&lt;=試算シート!E29,試算シート!E29&lt;=3599999),QUOTIENT(試算シート!E29,4000)*4000*0.7-80000,"0")</f>
        <v>0</v>
      </c>
      <c r="D7" s="24" t="str">
        <f>IF(AND(3600000&lt;=試算シート!E29,試算シート!E29&lt;=6599999),QUOTIENT(試算シート!E29,4000)*4000*0.8-440000,"0")</f>
        <v>0</v>
      </c>
      <c r="E7" s="24" t="str">
        <f>IF(AND(6600000&lt;=試算シート!E29,試算シート!E29&lt;=8500000),試算シート!E29*0.9-1100000,"0")</f>
        <v>0</v>
      </c>
      <c r="F7" s="25" t="str">
        <f>IF(8500001&lt;=試算シート!E29,試算シート!E29-1950000,"0")</f>
        <v>0</v>
      </c>
      <c r="G7" s="38">
        <f t="shared" si="0"/>
        <v>0</v>
      </c>
      <c r="H7" s="39">
        <f t="shared" si="1"/>
        <v>0</v>
      </c>
    </row>
    <row r="8" spans="1:15" ht="39.950000000000003" customHeight="1" thickBot="1" x14ac:dyDescent="0.75">
      <c r="A8" s="41" t="s">
        <v>39</v>
      </c>
      <c r="B8" s="26">
        <f>IF(試算シート!E30&lt;1900000,MAX(試算シート!E30-650000,0),"0")</f>
        <v>0</v>
      </c>
      <c r="C8" s="27" t="str">
        <f>IF(AND(1900001&lt;=試算シート!E30,試算シート!E30&lt;=3599999),QUOTIENT(試算シート!E30,4000)*4000*0.7-80000,"0")</f>
        <v>0</v>
      </c>
      <c r="D8" s="27" t="str">
        <f>IF(AND(3600000&lt;=試算シート!E30,試算シート!E30&lt;=6599999),QUOTIENT(試算シート!E30,4000)*4000*0.8-440000,"0")</f>
        <v>0</v>
      </c>
      <c r="E8" s="27" t="str">
        <f>IF(AND(6600000&lt;=試算シート!E30,試算シート!E30&lt;=8500000),試算シート!E30*0.9-1100000,"0")</f>
        <v>0</v>
      </c>
      <c r="F8" s="28" t="str">
        <f>IF(8500001&lt;=試算シート!E30,試算シート!E30-1950000,"0")</f>
        <v>0</v>
      </c>
      <c r="G8" s="38">
        <f t="shared" si="0"/>
        <v>0</v>
      </c>
      <c r="H8" s="39">
        <f t="shared" si="1"/>
        <v>0</v>
      </c>
    </row>
    <row r="9" spans="1:15" ht="39.950000000000003" customHeight="1" thickBot="1" x14ac:dyDescent="0.45">
      <c r="A9" s="42"/>
      <c r="B9" s="11"/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</row>
    <row r="10" spans="1:15" ht="39.950000000000003" customHeight="1" thickBot="1" x14ac:dyDescent="0.45">
      <c r="A10" s="43" t="s">
        <v>52</v>
      </c>
      <c r="B10" s="173" t="s">
        <v>44</v>
      </c>
      <c r="C10" s="174"/>
      <c r="D10" s="174"/>
      <c r="E10" s="174"/>
      <c r="F10" s="175"/>
      <c r="G10" s="176" t="s">
        <v>45</v>
      </c>
      <c r="H10" s="174"/>
      <c r="I10" s="174"/>
      <c r="J10" s="174"/>
      <c r="K10" s="175"/>
      <c r="L10" s="166" t="s">
        <v>55</v>
      </c>
      <c r="M10" s="13"/>
      <c r="N10" s="171" t="s">
        <v>67</v>
      </c>
      <c r="O10" s="171" t="s">
        <v>69</v>
      </c>
    </row>
    <row r="11" spans="1:15" ht="39.950000000000003" customHeight="1" thickBot="1" x14ac:dyDescent="0.45">
      <c r="A11" s="44" t="s">
        <v>51</v>
      </c>
      <c r="B11" s="14" t="s">
        <v>42</v>
      </c>
      <c r="C11" s="15" t="s">
        <v>43</v>
      </c>
      <c r="D11" s="16" t="s">
        <v>50</v>
      </c>
      <c r="E11" s="15" t="s">
        <v>46</v>
      </c>
      <c r="F11" s="17" t="s">
        <v>47</v>
      </c>
      <c r="G11" s="18" t="s">
        <v>48</v>
      </c>
      <c r="H11" s="15" t="s">
        <v>49</v>
      </c>
      <c r="I11" s="16" t="s">
        <v>50</v>
      </c>
      <c r="J11" s="15" t="s">
        <v>46</v>
      </c>
      <c r="K11" s="17" t="s">
        <v>47</v>
      </c>
      <c r="L11" s="167"/>
      <c r="M11" s="13"/>
      <c r="N11" s="177"/>
      <c r="O11" s="172"/>
    </row>
    <row r="12" spans="1:15" ht="39.950000000000003" customHeight="1" thickBot="1" x14ac:dyDescent="0.75">
      <c r="A12" s="44" t="s">
        <v>6</v>
      </c>
      <c r="B12" s="29">
        <f>IF(AND(試算シート!D25&lt;65,試算シート!G25&lt;=1300000),MAX(試算シート!G25-600000,0),"0")</f>
        <v>0</v>
      </c>
      <c r="C12" s="30" t="str">
        <f>IF(AND(試算シート!D25&lt;65,1300001&lt;=試算シート!G25,試算シート!G25&lt;=4100000),試算シート!G25*0.75-275000,"0")</f>
        <v>0</v>
      </c>
      <c r="D12" s="30" t="str">
        <f>IF(AND(試算シート!D25&lt;65,4100001&lt;=試算シート!G25,試算シート!G25&lt;=7700000),試算シート!G25*0.85-685000,"0")</f>
        <v>0</v>
      </c>
      <c r="E12" s="30" t="str">
        <f>IF(AND(試算シート!D25&lt;65,7700001&lt;=試算シート!G25,試算シート!G25&lt;=10000000),試算シート!G25*0.95-1455000,"0")</f>
        <v>0</v>
      </c>
      <c r="F12" s="31" t="str">
        <f>IF(AND(試算シート!D25&lt;65,10000001&lt;=試算シート!G25),MAX(試算シート!G25-1955000,0),"0")</f>
        <v>0</v>
      </c>
      <c r="G12" s="32" t="str">
        <f>IF(AND(65&lt;=試算シート!D25,試算シート!G25&lt;=3300000),MAX(試算シート!G25-1100000,0),"0")</f>
        <v>0</v>
      </c>
      <c r="H12" s="30" t="str">
        <f>IF(AND(65&lt;=試算シート!D25,3300001&lt;=試算シート!G25,試算シート!G25&lt;=4100000),試算シート!G25*0.75-275000,"0")</f>
        <v>0</v>
      </c>
      <c r="I12" s="30" t="str">
        <f>IF(AND(65&lt;=試算シート!D25,4100001&lt;=試算シート!G25,試算シート!G25&lt;=7700000),試算シート!G25*0.85-685000,"0")</f>
        <v>0</v>
      </c>
      <c r="J12" s="30" t="str">
        <f>IF(AND(65&lt;=試算シート!D25,7700001&lt;=試算シート!G25,試算シート!G25&lt;=10000000),試算シート!G25*0.95-1455000,"0")</f>
        <v>0</v>
      </c>
      <c r="K12" s="31" t="str">
        <f>IF(AND(65&lt;=試算シート!D25,10000001&lt;=試算シート!G25),MAX(試算シート!G25-1955000,0),"0")</f>
        <v>0</v>
      </c>
      <c r="L12" s="33">
        <f t="shared" ref="L12:L17" si="2">SUM(B12:K12)</f>
        <v>0</v>
      </c>
      <c r="M12" s="13"/>
      <c r="N12" s="51" t="str">
        <f>IF(OR(550000&lt;=試算シート!E25,AND(試算シート!D25&lt;65,600000&lt;=試算シート!G25),AND(65&lt;=試算シート!D25,1250000&lt;=試算シート!G25)),"〇","×")</f>
        <v>×</v>
      </c>
      <c r="O12" s="52">
        <f>SUM(H3,IF(65&lt;=試算シート!D25,MAX(L12-150000,0),L12),試算シート!I25)</f>
        <v>0</v>
      </c>
    </row>
    <row r="13" spans="1:15" ht="39.950000000000003" customHeight="1" thickBot="1" x14ac:dyDescent="0.75">
      <c r="A13" s="44" t="s">
        <v>35</v>
      </c>
      <c r="B13" s="29">
        <f>IF(AND(試算シート!D26&lt;65,試算シート!G26&lt;=1300000),MAX(試算シート!G26-600000,0),"0")</f>
        <v>0</v>
      </c>
      <c r="C13" s="30" t="str">
        <f>IF(AND(試算シート!D26&lt;65,1300001&lt;=試算シート!G26,試算シート!G26&lt;=4100000),試算シート!G26*0.75-275000,"0")</f>
        <v>0</v>
      </c>
      <c r="D13" s="30" t="str">
        <f>IF(AND(試算シート!D26&lt;65,4100001&lt;=試算シート!G26,試算シート!G26&lt;=7700000),試算シート!G26*0.85-685000,"0")</f>
        <v>0</v>
      </c>
      <c r="E13" s="30" t="str">
        <f>IF(AND(試算シート!D26&lt;65,7700001&lt;=試算シート!G26,試算シート!G26&lt;=10000000),試算シート!G26*0.95-1455000,"0")</f>
        <v>0</v>
      </c>
      <c r="F13" s="31" t="str">
        <f>IF(AND(試算シート!D26&lt;65,10000001&lt;=試算シート!G26),MAX(試算シート!G26-1955000,0),"0")</f>
        <v>0</v>
      </c>
      <c r="G13" s="32" t="str">
        <f>IF(AND(65&lt;=試算シート!D26,試算シート!G26&lt;=3300000),MAX(試算シート!G26-1100000,0),"0")</f>
        <v>0</v>
      </c>
      <c r="H13" s="30" t="str">
        <f>IF(AND(65&lt;=試算シート!D26,3300001&lt;=試算シート!G26,試算シート!G26&lt;=4100000),試算シート!G26*0.75-275000,"0")</f>
        <v>0</v>
      </c>
      <c r="I13" s="30" t="str">
        <f>IF(AND(65&lt;=試算シート!D26,4100001&lt;=試算シート!G26,試算シート!G26&lt;=7700000),試算シート!G26*0.85-685000,"0")</f>
        <v>0</v>
      </c>
      <c r="J13" s="30" t="str">
        <f>IF(AND(65&lt;=試算シート!D26,7700001&lt;=試算シート!G26,試算シート!G26&lt;=10000000),試算シート!G26*0.95-1455000,"0")</f>
        <v>0</v>
      </c>
      <c r="K13" s="31" t="str">
        <f>IF(AND(65&lt;=試算シート!D26,10000001&lt;=試算シート!G26),MAX(試算シート!G26-1955000,0),"0")</f>
        <v>0</v>
      </c>
      <c r="L13" s="33">
        <f t="shared" si="2"/>
        <v>0</v>
      </c>
      <c r="M13" s="13"/>
      <c r="N13" s="51" t="str">
        <f>IF(OR(550000&lt;=試算シート!E26,AND(試算シート!D26&lt;65,600000&lt;=試算シート!G26),AND(65&lt;=試算シート!D26,1250000&lt;=試算シート!G26)),"〇","×")</f>
        <v>×</v>
      </c>
      <c r="O13" s="52">
        <f>IF(試算シート!C26="〇",SUM(H4,IF(65&lt;=試算シート!D26,MAX(L13-150000,0),L13),試算シート!I26),0)</f>
        <v>0</v>
      </c>
    </row>
    <row r="14" spans="1:15" ht="39.950000000000003" customHeight="1" thickBot="1" x14ac:dyDescent="0.75">
      <c r="A14" s="44" t="s">
        <v>36</v>
      </c>
      <c r="B14" s="29">
        <f>IF(AND(試算シート!D27&lt;65,試算シート!G27&lt;=1300000),MAX(試算シート!G27-600000,0),"0")</f>
        <v>0</v>
      </c>
      <c r="C14" s="30" t="str">
        <f>IF(AND(試算シート!D27&lt;65,1300001&lt;=試算シート!G27,試算シート!G27&lt;=4100000),試算シート!G27*0.75-275000,"0")</f>
        <v>0</v>
      </c>
      <c r="D14" s="30" t="str">
        <f>IF(AND(試算シート!D27&lt;65,4100001&lt;=試算シート!G27,試算シート!G27&lt;=7700000),試算シート!G27*0.85-685000,"0")</f>
        <v>0</v>
      </c>
      <c r="E14" s="30" t="str">
        <f>IF(AND(試算シート!D27&lt;65,7700001&lt;=試算シート!G27,試算シート!G27&lt;=10000000),試算シート!G27*0.95-1455000,"0")</f>
        <v>0</v>
      </c>
      <c r="F14" s="31" t="str">
        <f>IF(AND(試算シート!D27&lt;65,10000001&lt;=試算シート!G27),MAX(試算シート!G27-1955000,0),"0")</f>
        <v>0</v>
      </c>
      <c r="G14" s="32" t="str">
        <f>IF(AND(65&lt;=試算シート!D27,試算シート!G27&lt;=3300000),MAX(試算シート!G27-1100000,0),"0")</f>
        <v>0</v>
      </c>
      <c r="H14" s="30" t="str">
        <f>IF(AND(65&lt;=試算シート!D27,3300001&lt;=試算シート!G27,試算シート!G27&lt;=4100000),試算シート!G27*0.75-275000,"0")</f>
        <v>0</v>
      </c>
      <c r="I14" s="30" t="str">
        <f>IF(AND(65&lt;=試算シート!D27,4100001&lt;=試算シート!G27,試算シート!G27&lt;=7700000),試算シート!G27*0.85-685000,"0")</f>
        <v>0</v>
      </c>
      <c r="J14" s="30" t="str">
        <f>IF(AND(65&lt;=試算シート!D27,7700001&lt;=試算シート!G27,試算シート!G27&lt;=10000000),試算シート!G27*0.95-1455000,"0")</f>
        <v>0</v>
      </c>
      <c r="K14" s="31" t="str">
        <f>IF(AND(65&lt;=試算シート!D27,10000001&lt;=試算シート!G27),MAX(試算シート!G27-1955000,0),"0")</f>
        <v>0</v>
      </c>
      <c r="L14" s="33">
        <f t="shared" si="2"/>
        <v>0</v>
      </c>
      <c r="M14" s="13"/>
      <c r="N14" s="51" t="str">
        <f>IF(OR(550000&lt;=試算シート!E27,AND(試算シート!D27&lt;65,600000&lt;=試算シート!G27),AND(65&lt;=試算シート!D27,1250000&lt;=試算シート!G27)),"〇","×")</f>
        <v>×</v>
      </c>
      <c r="O14" s="52">
        <f>IF(試算シート!C27="〇",SUM(H5,IF(65&lt;=試算シート!D27,MAX(L14-150000,0),L14),試算シート!I27),0)</f>
        <v>0</v>
      </c>
    </row>
    <row r="15" spans="1:15" ht="39.950000000000003" customHeight="1" thickBot="1" x14ac:dyDescent="0.75">
      <c r="A15" s="44" t="s">
        <v>37</v>
      </c>
      <c r="B15" s="29">
        <f>IF(AND(試算シート!D28&lt;65,試算シート!G28&lt;=1300000),MAX(試算シート!G28-600000,0),"0")</f>
        <v>0</v>
      </c>
      <c r="C15" s="30" t="str">
        <f>IF(AND(試算シート!D28&lt;65,1300001&lt;=試算シート!G28,試算シート!G28&lt;=4100000),試算シート!G28*0.75-275000,"0")</f>
        <v>0</v>
      </c>
      <c r="D15" s="30" t="str">
        <f>IF(AND(試算シート!D28&lt;65,4100001&lt;=試算シート!G28,試算シート!G28&lt;=7700000),試算シート!G28*0.85-685000,"0")</f>
        <v>0</v>
      </c>
      <c r="E15" s="30" t="str">
        <f>IF(AND(試算シート!D28&lt;65,7700001&lt;=試算シート!G28,試算シート!G28&lt;=10000000),試算シート!G28*0.95-1455000,"0")</f>
        <v>0</v>
      </c>
      <c r="F15" s="31" t="str">
        <f>IF(AND(試算シート!D28&lt;65,10000001&lt;=試算シート!G28),MAX(試算シート!G28-1955000,0),"0")</f>
        <v>0</v>
      </c>
      <c r="G15" s="32" t="str">
        <f>IF(AND(65&lt;=試算シート!D28,試算シート!G28&lt;=3300000),MAX(試算シート!G28-1100000,0),"0")</f>
        <v>0</v>
      </c>
      <c r="H15" s="30" t="str">
        <f>IF(AND(65&lt;=試算シート!D28,3300001&lt;=試算シート!G28,試算シート!G28&lt;=4100000),試算シート!G28*0.75-275000,"0")</f>
        <v>0</v>
      </c>
      <c r="I15" s="30" t="str">
        <f>IF(AND(65&lt;=試算シート!D28,4100001&lt;=試算シート!G28,試算シート!G28&lt;=7700000),試算シート!G28*0.85-685000,"0")</f>
        <v>0</v>
      </c>
      <c r="J15" s="30" t="str">
        <f>IF(AND(65&lt;=試算シート!D28,7700001&lt;=試算シート!G28,試算シート!G28&lt;=10000000),試算シート!G28*0.95-1455000,"0")</f>
        <v>0</v>
      </c>
      <c r="K15" s="31" t="str">
        <f>IF(AND(65&lt;=試算シート!D28,10000001&lt;=試算シート!G28),MAX(試算シート!G28-1955000,0),"0")</f>
        <v>0</v>
      </c>
      <c r="L15" s="33">
        <f t="shared" si="2"/>
        <v>0</v>
      </c>
      <c r="M15" s="13"/>
      <c r="N15" s="51" t="str">
        <f>IF(OR(550000&lt;=試算シート!E28,AND(試算シート!D28&lt;65,600000&lt;=試算シート!G28),AND(65&lt;=試算シート!D28,1250000&lt;=試算シート!G28)),"〇","×")</f>
        <v>×</v>
      </c>
      <c r="O15" s="52">
        <f>IF(試算シート!C28="〇",SUM(H6,IF(65&lt;=試算シート!D28,MAX(L15-150000,0),L15),試算シート!I28),0)</f>
        <v>0</v>
      </c>
    </row>
    <row r="16" spans="1:15" ht="39.950000000000003" customHeight="1" thickBot="1" x14ac:dyDescent="0.75">
      <c r="A16" s="44" t="s">
        <v>38</v>
      </c>
      <c r="B16" s="29">
        <f>IF(AND(試算シート!D29&lt;65,試算シート!G29&lt;=1300000),MAX(試算シート!G29-600000,0),"0")</f>
        <v>0</v>
      </c>
      <c r="C16" s="30" t="str">
        <f>IF(AND(試算シート!D29&lt;65,1300001&lt;=試算シート!G29,試算シート!G29&lt;=4100000),試算シート!G29*0.75-275000,"0")</f>
        <v>0</v>
      </c>
      <c r="D16" s="30" t="str">
        <f>IF(AND(試算シート!D29&lt;65,4100001&lt;=試算シート!G29,試算シート!G29&lt;=7700000),試算シート!G29*0.85-685000,"0")</f>
        <v>0</v>
      </c>
      <c r="E16" s="30" t="str">
        <f>IF(AND(試算シート!D29&lt;65,7700001&lt;=試算シート!G29,試算シート!G29&lt;=10000000),試算シート!G29*0.95-1455000,"0")</f>
        <v>0</v>
      </c>
      <c r="F16" s="31" t="str">
        <f>IF(AND(試算シート!D29&lt;65,10000001&lt;=試算シート!G29),MAX(試算シート!G29-1955000,0),"0")</f>
        <v>0</v>
      </c>
      <c r="G16" s="32" t="str">
        <f>IF(AND(65&lt;=試算シート!D29,試算シート!G29&lt;=3300000),MAX(試算シート!G29-1100000,0),"0")</f>
        <v>0</v>
      </c>
      <c r="H16" s="30" t="str">
        <f>IF(AND(65&lt;=試算シート!D29,3300001&lt;=試算シート!G29,試算シート!G29&lt;=4100000),試算シート!G29*0.75-275000,"0")</f>
        <v>0</v>
      </c>
      <c r="I16" s="30" t="str">
        <f>IF(AND(65&lt;=試算シート!D29,4100001&lt;=試算シート!G29,試算シート!G29&lt;=7700000),試算シート!G29*0.85-685000,"0")</f>
        <v>0</v>
      </c>
      <c r="J16" s="30" t="str">
        <f>IF(AND(65&lt;=試算シート!D29,7700001&lt;=試算シート!G29,試算シート!G29&lt;=10000000),試算シート!G29*0.95-1455000,"0")</f>
        <v>0</v>
      </c>
      <c r="K16" s="31" t="str">
        <f>IF(AND(65&lt;=試算シート!D29,10000001&lt;=試算シート!G29),MAX(試算シート!G29-1955000,0),"0")</f>
        <v>0</v>
      </c>
      <c r="L16" s="33">
        <f t="shared" si="2"/>
        <v>0</v>
      </c>
      <c r="M16" s="13"/>
      <c r="N16" s="51" t="str">
        <f>IF(OR(550000&lt;=試算シート!E29,AND(試算シート!D29&lt;65,600000&lt;=試算シート!G29),AND(65&lt;=試算シート!D29,1250000&lt;=試算シート!G29)),"〇","×")</f>
        <v>×</v>
      </c>
      <c r="O16" s="52">
        <f>IF(試算シート!C29="〇",SUM(H7,IF(65&lt;=試算シート!D29,MAX(L16-150000,0),L16),試算シート!I29),0)</f>
        <v>0</v>
      </c>
    </row>
    <row r="17" spans="1:15" ht="39.950000000000003" customHeight="1" thickBot="1" x14ac:dyDescent="0.75">
      <c r="A17" s="44" t="s">
        <v>39</v>
      </c>
      <c r="B17" s="34">
        <f>IF(AND(試算シート!D30&lt;65,試算シート!G30&lt;=1300000),MAX(試算シート!G30-600000,0),"0")</f>
        <v>0</v>
      </c>
      <c r="C17" s="35" t="str">
        <f>IF(AND(試算シート!D30&lt;65,1300001&lt;=試算シート!G30,試算シート!G30&lt;=4100000),試算シート!G30*0.75-275000,"0")</f>
        <v>0</v>
      </c>
      <c r="D17" s="35" t="str">
        <f>IF(AND(試算シート!D30&lt;65,4100001&lt;=試算シート!G30,試算シート!G30&lt;=7700000),試算シート!G30*0.85-685000,"0")</f>
        <v>0</v>
      </c>
      <c r="E17" s="35" t="str">
        <f>IF(AND(試算シート!D30&lt;65,7700001&lt;=試算シート!G30,試算シート!G30&lt;=10000000),試算シート!G30*0.95-1455000,"0")</f>
        <v>0</v>
      </c>
      <c r="F17" s="36" t="str">
        <f>IF(AND(試算シート!D30&lt;65,10000001&lt;=試算シート!G30),MAX(試算シート!G30-1955000,0),"0")</f>
        <v>0</v>
      </c>
      <c r="G17" s="37" t="str">
        <f>IF(AND(65&lt;=試算シート!D30,試算シート!G30&lt;=3300000),MAX(試算シート!G30-1100000,0),"0")</f>
        <v>0</v>
      </c>
      <c r="H17" s="35" t="str">
        <f>IF(AND(65&lt;=試算シート!D30,3300001&lt;=試算シート!G30,試算シート!G30&lt;=4100000),試算シート!G30*0.75-275000,"0")</f>
        <v>0</v>
      </c>
      <c r="I17" s="35" t="str">
        <f>IF(AND(65&lt;=試算シート!D30,4100001&lt;=試算シート!G30,試算シート!G30&lt;=7700000),試算シート!G30*0.85-685000,"0")</f>
        <v>0</v>
      </c>
      <c r="J17" s="35" t="str">
        <f>IF(AND(65&lt;=試算シート!D30,7700001&lt;=試算シート!G30,試算シート!G30&lt;=10000000),試算シート!G30*0.95-1455000,"0")</f>
        <v>0</v>
      </c>
      <c r="K17" s="36" t="str">
        <f>IF(AND(65&lt;=試算シート!D30,10000001&lt;=試算シート!G30),MAX(試算シート!G30-1955000,0),"0")</f>
        <v>0</v>
      </c>
      <c r="L17" s="33">
        <f t="shared" si="2"/>
        <v>0</v>
      </c>
      <c r="M17" s="13"/>
      <c r="N17" s="51" t="str">
        <f>IF(OR(550000&lt;=試算シート!E30,AND(試算シート!D30&lt;65,600000&lt;=試算シート!G30),AND(65&lt;=試算シート!D30,1250000&lt;=試算シート!G30)),"〇","×")</f>
        <v>×</v>
      </c>
      <c r="O17" s="52">
        <f>IF(試算シート!C30="〇",SUM(H8,IF(65&lt;=試算シート!D30,MAX(L17-150000,0),L17),試算シート!I30),0)</f>
        <v>0</v>
      </c>
    </row>
    <row r="18" spans="1:15" ht="39.950000000000003" customHeight="1" thickBot="1" x14ac:dyDescent="0.45">
      <c r="A18" s="11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3"/>
      <c r="M18" s="13"/>
      <c r="O18" s="52">
        <f>SUM(O12:O17)</f>
        <v>0</v>
      </c>
    </row>
    <row r="25" spans="1:15" x14ac:dyDescent="0.4"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sheetProtection selectLockedCells="1"/>
  <mergeCells count="8">
    <mergeCell ref="G1:G2"/>
    <mergeCell ref="H1:H2"/>
    <mergeCell ref="B1:F1"/>
    <mergeCell ref="O10:O11"/>
    <mergeCell ref="B10:F10"/>
    <mergeCell ref="G10:K10"/>
    <mergeCell ref="N10:N11"/>
    <mergeCell ref="L10:L11"/>
  </mergeCells>
  <phoneticPr fontId="1"/>
  <pageMargins left="0.7" right="0.7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view="pageBreakPreview" topLeftCell="A20" zoomScale="50" zoomScaleNormal="100" zoomScaleSheetLayoutView="50" workbookViewId="0">
      <selection activeCell="B32" sqref="B32"/>
    </sheetView>
  </sheetViews>
  <sheetFormatPr defaultRowHeight="18.75" x14ac:dyDescent="0.4"/>
  <cols>
    <col min="1" max="1" width="20.625" customWidth="1"/>
    <col min="2" max="15" width="22.625" customWidth="1"/>
  </cols>
  <sheetData>
    <row r="1" spans="1:14" s="47" customFormat="1" ht="71.25" thickBot="1" x14ac:dyDescent="0.75">
      <c r="A1" s="44" t="s">
        <v>62</v>
      </c>
      <c r="B1" s="43" t="s">
        <v>68</v>
      </c>
      <c r="C1" s="44" t="s">
        <v>66</v>
      </c>
      <c r="D1" s="44" t="s">
        <v>63</v>
      </c>
      <c r="E1" s="44" t="s">
        <v>64</v>
      </c>
      <c r="F1" s="44" t="s">
        <v>65</v>
      </c>
      <c r="G1" s="50"/>
    </row>
    <row r="2" spans="1:14" s="47" customFormat="1" ht="39.950000000000003" customHeight="1" thickBot="1" x14ac:dyDescent="0.75">
      <c r="A2" s="53" t="s">
        <v>61</v>
      </c>
      <c r="B2" s="54">
        <f>COUNTIF(所得計算!N12:N17,"〇")</f>
        <v>0</v>
      </c>
      <c r="C2" s="55">
        <f>COUNTIF(試算シート!C25:C30,"〇")</f>
        <v>0</v>
      </c>
      <c r="D2" s="55" t="str">
        <f>IF(所得計算!O18&lt;=430000+100000*MAX(保険料計算!B2-1,0),"〇","×")</f>
        <v>〇</v>
      </c>
      <c r="E2" s="55" t="str">
        <f>IF(AND(所得計算!O18&lt;=430000+310000*C2+100000*MAX(保険料計算!B2-1,0),D2="×"),"〇","×")</f>
        <v>×</v>
      </c>
      <c r="F2" s="56" t="str">
        <f>IF(AND(所得計算!O18&lt;=430000+570000*C2+100000*MAX(保険料計算!B2-1,0),D2="×",E2="×"),"〇","×")</f>
        <v>×</v>
      </c>
      <c r="G2" s="47" t="s">
        <v>99</v>
      </c>
    </row>
    <row r="3" spans="1:14" s="47" customFormat="1" ht="39.950000000000003" customHeight="1" thickBot="1" x14ac:dyDescent="0.75">
      <c r="A3" s="49"/>
    </row>
    <row r="4" spans="1:14" ht="60" customHeight="1" thickBot="1" x14ac:dyDescent="0.45">
      <c r="A4" s="44" t="s">
        <v>59</v>
      </c>
      <c r="B4" s="44" t="s">
        <v>60</v>
      </c>
      <c r="C4" s="44" t="s">
        <v>70</v>
      </c>
      <c r="D4" s="43" t="s">
        <v>71</v>
      </c>
      <c r="E4" s="43" t="s">
        <v>72</v>
      </c>
      <c r="F4" s="43" t="s">
        <v>73</v>
      </c>
      <c r="G4" s="61" t="s">
        <v>77</v>
      </c>
      <c r="H4" s="43" t="s">
        <v>74</v>
      </c>
      <c r="I4" s="43" t="s">
        <v>75</v>
      </c>
      <c r="J4" s="43" t="s">
        <v>76</v>
      </c>
      <c r="K4" s="43" t="s">
        <v>78</v>
      </c>
      <c r="L4" s="43" t="s">
        <v>79</v>
      </c>
      <c r="M4" s="43" t="s">
        <v>80</v>
      </c>
      <c r="N4" s="43" t="s">
        <v>81</v>
      </c>
    </row>
    <row r="5" spans="1:14" ht="39.950000000000003" customHeight="1" thickBot="1" x14ac:dyDescent="0.45">
      <c r="A5" s="44" t="s">
        <v>6</v>
      </c>
      <c r="B5" s="70">
        <f>IF(試算シート!$C25="〇",試算シート!$K25*料率入力欄!$B$6,0)</f>
        <v>0</v>
      </c>
      <c r="C5" s="73">
        <f>IF(AND(試算シート!$C25="〇",$D$2="×",$E$2="×",$F$2="×",7&lt;=試算シート!$D25),料率入力欄!$C$6,0)</f>
        <v>0</v>
      </c>
      <c r="D5" s="60">
        <f>IF(AND(試算シート!$C25="〇",$D$2="〇",7&lt;=試算シート!$D25),料率入力欄!$C$6-料率入力欄!$K$5,0)</f>
        <v>0</v>
      </c>
      <c r="E5" s="60">
        <f>IF(AND(試算シート!$C25="〇",$E$2="〇",7&lt;=試算シート!$D25),料率入力欄!$C$6-料率入力欄!$K$4,0)</f>
        <v>0</v>
      </c>
      <c r="F5" s="62">
        <f>IF(AND(試算シート!$C25="〇",$F$2="〇",7&lt;=試算シート!$D25),料率入力欄!$C$6-料率入力欄!$K$3,0)</f>
        <v>0</v>
      </c>
      <c r="G5" s="59">
        <f>IF(AND(試算シート!$C25="〇",$D$2="×",$E$2="×",$F$2="×",試算シート!$D25&lt;=6),料率入力欄!$C$6-料率入力欄!$E$6,0)</f>
        <v>0</v>
      </c>
      <c r="H5" s="60">
        <f>IF(AND(試算シート!$C25="〇",$D$2="〇",試算シート!$D25&lt;=6),料率入力欄!$C$6-料率入力欄!$K$5-料率入力欄!$L$5,0)</f>
        <v>0</v>
      </c>
      <c r="I5" s="60">
        <f>IF(AND(試算シート!$C25="〇",$E$2="〇",試算シート!$D25&lt;=6),料率入力欄!$C$6-料率入力欄!$K$4-料率入力欄!$L$4,0)</f>
        <v>0</v>
      </c>
      <c r="J5" s="62">
        <f>IF(AND(試算シート!$C25="〇",$F$2="〇",試算シート!$D25&lt;=6),料率入力欄!$C$6-料率入力欄!$K$3-料率入力欄!$L$3,0)</f>
        <v>0</v>
      </c>
      <c r="K5" s="67">
        <f>IF(AND($D$2="×",$E$2="×",$F$2="×"),料率入力欄!$F$6,0)</f>
        <v>0</v>
      </c>
      <c r="L5" s="68">
        <f>IF(AND(OR(試算シート!C25="〇",試算シート!C26="〇",試算シート!C27="〇",試算シート!C28="〇",試算シート!C29="〇",試算シート!C30="〇",),D2="〇"),料率入力欄!$F$6-料率入力欄!$M$5,0)</f>
        <v>0</v>
      </c>
      <c r="M5" s="68">
        <f>IF(AND(OR(試算シート!C25="〇",試算シート!C26="〇",試算シート!C27="〇",試算シート!C28="〇",試算シート!C29="〇",試算シート!C30="〇",),E2="〇"),料率入力欄!$F$6-料率入力欄!$M$4,0)</f>
        <v>0</v>
      </c>
      <c r="N5" s="69">
        <f>IF(AND(OR(試算シート!C25="〇",試算シート!C26="〇",試算シート!C27="〇",試算シート!C28="〇",試算シート!C29="〇",試算シート!C30="〇",),F2="〇"),料率入力欄!$F$6-料率入力欄!$M$3,0)</f>
        <v>0</v>
      </c>
    </row>
    <row r="6" spans="1:14" ht="39.950000000000003" customHeight="1" thickBot="1" x14ac:dyDescent="0.45">
      <c r="A6" s="44" t="s">
        <v>35</v>
      </c>
      <c r="B6" s="71">
        <f>IF(試算シート!$C26="〇",試算シート!$K26*料率入力欄!$B$6,0)</f>
        <v>0</v>
      </c>
      <c r="C6" s="74">
        <f>IF(AND(試算シート!$C26="〇",$D$2="×",$E$2="×",$F$2="×",7&lt;=試算シート!$D26),料率入力欄!$C$6,0)</f>
        <v>0</v>
      </c>
      <c r="D6" s="57">
        <f>IF(AND(試算シート!$C26="〇",$D$2="〇",7&lt;=試算シート!$D26),料率入力欄!$C$6-料率入力欄!$K$5,0)</f>
        <v>0</v>
      </c>
      <c r="E6" s="57">
        <f>IF(AND(試算シート!$C26="〇",$E$2="〇",7&lt;=試算シート!$D26),料率入力欄!$C$6-料率入力欄!$K$4,0)</f>
        <v>0</v>
      </c>
      <c r="F6" s="63">
        <f>IF(AND(試算シート!$C26="〇",$F$2="〇",7&lt;=試算シート!$D26),料率入力欄!$C$6-料率入力欄!$K$3,0)</f>
        <v>0</v>
      </c>
      <c r="G6" s="58">
        <f>IF(AND(試算シート!$C26="〇",$D$2="×",$E$2="×",$F$2="×",試算シート!$D26&lt;=6),料率入力欄!$C$6-料率入力欄!$E$6,0)</f>
        <v>0</v>
      </c>
      <c r="H6" s="57">
        <f>IF(AND(試算シート!$C26="〇",$D$2="〇",試算シート!$D26&lt;=6),料率入力欄!$C$6-料率入力欄!$K$5-料率入力欄!$L$5,0)</f>
        <v>0</v>
      </c>
      <c r="I6" s="57">
        <f>IF(AND(試算シート!$C26="〇",$E$2="〇",試算シート!$D26&lt;=6),料率入力欄!$C$6-料率入力欄!$K$4-料率入力欄!$L$4,0)</f>
        <v>0</v>
      </c>
      <c r="J6" s="63">
        <f>IF(AND(試算シート!$C26="〇",$F$2="〇",試算シート!$D26&lt;=6),料率入力欄!$C$6-料率入力欄!$K$3-料率入力欄!$L$3,0)</f>
        <v>0</v>
      </c>
      <c r="K6" s="48"/>
      <c r="L6" s="48"/>
      <c r="M6" s="48"/>
      <c r="N6" s="48"/>
    </row>
    <row r="7" spans="1:14" ht="39.950000000000003" customHeight="1" thickBot="1" x14ac:dyDescent="0.45">
      <c r="A7" s="44" t="s">
        <v>36</v>
      </c>
      <c r="B7" s="71">
        <f>IF(試算シート!$C27="〇",試算シート!$K27*料率入力欄!$B$6,0)</f>
        <v>0</v>
      </c>
      <c r="C7" s="74">
        <f>IF(AND(試算シート!$C27="〇",$D$2="×",$E$2="×",$F$2="×",7&lt;=試算シート!$D27),料率入力欄!$C$6,0)</f>
        <v>0</v>
      </c>
      <c r="D7" s="57">
        <f>IF(AND(試算シート!$C27="〇",$D$2="〇",7&lt;=試算シート!$D27),料率入力欄!$C$6-料率入力欄!$K$5,0)</f>
        <v>0</v>
      </c>
      <c r="E7" s="57">
        <f>IF(AND(試算シート!$C27="〇",$E$2="〇",7&lt;=試算シート!$D27),料率入力欄!$C$6-料率入力欄!$K$4,0)</f>
        <v>0</v>
      </c>
      <c r="F7" s="63">
        <f>IF(AND(試算シート!$C27="〇",$F$2="〇",7&lt;=試算シート!$D27),料率入力欄!$C$6-料率入力欄!$K$3,0)</f>
        <v>0</v>
      </c>
      <c r="G7" s="58">
        <f>IF(AND(試算シート!$C27="〇",$D$2="×",$E$2="×",$F$2="×",試算シート!$D27&lt;=6),料率入力欄!$C$6-料率入力欄!$E$6,0)</f>
        <v>0</v>
      </c>
      <c r="H7" s="57">
        <f>IF(AND(試算シート!$C27="〇",$D$2="〇",試算シート!$D27&lt;=6),料率入力欄!$C$6-料率入力欄!$K$5-料率入力欄!$L$5,0)</f>
        <v>0</v>
      </c>
      <c r="I7" s="57">
        <f>IF(AND(試算シート!$C27="〇",$E$2="〇",試算シート!$D27&lt;=6),料率入力欄!$C$6-料率入力欄!$K$4-料率入力欄!$L$4,0)</f>
        <v>0</v>
      </c>
      <c r="J7" s="63">
        <f>IF(AND(試算シート!$C27="〇",$F$2="〇",試算シート!$D27&lt;=6),料率入力欄!$C$6-料率入力欄!$K$3-料率入力欄!$L$3,0)</f>
        <v>0</v>
      </c>
      <c r="K7" s="48"/>
      <c r="L7" s="48"/>
      <c r="M7" s="48"/>
      <c r="N7" s="48"/>
    </row>
    <row r="8" spans="1:14" ht="39.950000000000003" customHeight="1" thickBot="1" x14ac:dyDescent="0.45">
      <c r="A8" s="44" t="s">
        <v>37</v>
      </c>
      <c r="B8" s="71">
        <f>IF(試算シート!$C28="〇",試算シート!$K28*料率入力欄!$B$6,0)</f>
        <v>0</v>
      </c>
      <c r="C8" s="74">
        <f>IF(AND(試算シート!$C28="〇",$D$2="×",$E$2="×",$F$2="×",7&lt;=試算シート!$D28),料率入力欄!$C$6,0)</f>
        <v>0</v>
      </c>
      <c r="D8" s="57">
        <f>IF(AND(試算シート!$C28="〇",$D$2="〇",7&lt;=試算シート!$D28),料率入力欄!$C$6-料率入力欄!$K$5,0)</f>
        <v>0</v>
      </c>
      <c r="E8" s="57">
        <f>IF(AND(試算シート!$C28="〇",$E$2="〇",7&lt;=試算シート!$D28),料率入力欄!$C$6-料率入力欄!$K$4,0)</f>
        <v>0</v>
      </c>
      <c r="F8" s="63">
        <f>IF(AND(試算シート!$C28="〇",$F$2="〇",7&lt;=試算シート!$D28),料率入力欄!$C$6-料率入力欄!$K$3,0)</f>
        <v>0</v>
      </c>
      <c r="G8" s="58">
        <f>IF(AND(試算シート!$C28="〇",$D$2="×",$E$2="×",$F$2="×",試算シート!$D28&lt;=6),料率入力欄!$C$6-料率入力欄!$E$6,0)</f>
        <v>0</v>
      </c>
      <c r="H8" s="57">
        <f>IF(AND(試算シート!$C28="〇",$D$2="〇",試算シート!$D28&lt;=6),料率入力欄!$C$6-料率入力欄!$K$5-料率入力欄!$L$5,0)</f>
        <v>0</v>
      </c>
      <c r="I8" s="57">
        <f>IF(AND(試算シート!$C28="〇",$E$2="〇",試算シート!$D28&lt;=6),料率入力欄!$C$6-料率入力欄!$K$4-料率入力欄!$L$4,0)</f>
        <v>0</v>
      </c>
      <c r="J8" s="63">
        <f>IF(AND(試算シート!$C28="〇",$F$2="〇",試算シート!$D28&lt;=6),料率入力欄!$C$6-料率入力欄!$K$3-料率入力欄!$L$3,0)</f>
        <v>0</v>
      </c>
      <c r="K8" s="48"/>
      <c r="L8" s="48"/>
      <c r="M8" s="48"/>
      <c r="N8" s="48"/>
    </row>
    <row r="9" spans="1:14" ht="39.950000000000003" customHeight="1" thickBot="1" x14ac:dyDescent="0.45">
      <c r="A9" s="44" t="s">
        <v>38</v>
      </c>
      <c r="B9" s="71">
        <f>IF(試算シート!$C29="〇",試算シート!$K29*料率入力欄!$B$6,0)</f>
        <v>0</v>
      </c>
      <c r="C9" s="74">
        <f>IF(AND(試算シート!$C29="〇",$D$2="×",$E$2="×",$F$2="×",7&lt;=試算シート!$D29),料率入力欄!$C$6,0)</f>
        <v>0</v>
      </c>
      <c r="D9" s="57">
        <f>IF(AND(試算シート!$C29="〇",$D$2="〇",7&lt;=試算シート!$D29),料率入力欄!$C$6-料率入力欄!$K$5,0)</f>
        <v>0</v>
      </c>
      <c r="E9" s="57">
        <f>IF(AND(試算シート!$C29="〇",$E$2="〇",7&lt;=試算シート!$D29),料率入力欄!$C$6-料率入力欄!$K$4,0)</f>
        <v>0</v>
      </c>
      <c r="F9" s="63">
        <f>IF(AND(試算シート!$C29="〇",$F$2="〇",7&lt;=試算シート!$D29),料率入力欄!$C$6-料率入力欄!$K$3,0)</f>
        <v>0</v>
      </c>
      <c r="G9" s="58">
        <f>IF(AND(試算シート!$C29="〇",$D$2="×",$E$2="×",$F$2="×",試算シート!$D29&lt;=6),料率入力欄!$C$6-料率入力欄!$E$6,0)</f>
        <v>0</v>
      </c>
      <c r="H9" s="57">
        <f>IF(AND(試算シート!$C29="〇",$D$2="〇",試算シート!$D29&lt;=6),料率入力欄!$C$6-料率入力欄!$K$5-料率入力欄!$L$5,0)</f>
        <v>0</v>
      </c>
      <c r="I9" s="57">
        <f>IF(AND(試算シート!$C29="〇",$E$2="〇",試算シート!$D29&lt;=6),料率入力欄!$C$6-料率入力欄!$K$4-料率入力欄!$L$4,0)</f>
        <v>0</v>
      </c>
      <c r="J9" s="63">
        <f>IF(AND(試算シート!$C29="〇",$F$2="〇",試算シート!$D29&lt;=6),料率入力欄!$C$6-料率入力欄!$K$3-料率入力欄!$L$3,0)</f>
        <v>0</v>
      </c>
      <c r="K9" s="48"/>
      <c r="L9" s="48"/>
      <c r="M9" s="48"/>
      <c r="N9" s="48"/>
    </row>
    <row r="10" spans="1:14" ht="39.950000000000003" customHeight="1" thickBot="1" x14ac:dyDescent="0.45">
      <c r="A10" s="44" t="s">
        <v>39</v>
      </c>
      <c r="B10" s="72">
        <f>IF(試算シート!$C30="〇",試算シート!$K30*料率入力欄!$B$6,0)</f>
        <v>0</v>
      </c>
      <c r="C10" s="75">
        <f>IF(AND(試算シート!$C30="〇",$D$2="×",$E$2="×",$F$2="×",7&lt;=試算シート!$D30),料率入力欄!$C$6,0)</f>
        <v>0</v>
      </c>
      <c r="D10" s="65">
        <f>IF(AND(試算シート!$C30="〇",$D$2="〇",7&lt;=試算シート!$D30),料率入力欄!$C$6-料率入力欄!$K$5,0)</f>
        <v>0</v>
      </c>
      <c r="E10" s="65">
        <f>IF(AND(試算シート!$C30="〇",$E$2="〇",7&lt;=試算シート!$D30),料率入力欄!$C$6-料率入力欄!$K$4,0)</f>
        <v>0</v>
      </c>
      <c r="F10" s="66">
        <f>IF(AND(試算シート!$C30="〇",$F$2="〇",7&lt;=試算シート!$D30),料率入力欄!$C$6-料率入力欄!$K$3,0)</f>
        <v>0</v>
      </c>
      <c r="G10" s="64">
        <f>IF(AND(試算シート!$C30="〇",$D$2="×",$E$2="×",$F$2="×",試算シート!$D30&lt;=6),料率入力欄!$C$6-料率入力欄!$E$6,0)</f>
        <v>0</v>
      </c>
      <c r="H10" s="65">
        <f>IF(AND(試算シート!$C30="〇",$D$2="〇",試算シート!$D30&lt;=6),料率入力欄!$C$6-料率入力欄!$K$5-料率入力欄!$L$5,0)</f>
        <v>0</v>
      </c>
      <c r="I10" s="65">
        <f>IF(AND(試算シート!$C30="〇",$E$2="〇",試算シート!$D30&lt;=6),料率入力欄!$C$6-料率入力欄!$K$4-料率入力欄!$L$4,0)</f>
        <v>0</v>
      </c>
      <c r="J10" s="66">
        <f>IF(AND(試算シート!$C30="〇",$F$2="〇",試算シート!$D30&lt;=6),料率入力欄!$C$6-料率入力欄!$K$3-料率入力欄!$L$3,0)</f>
        <v>0</v>
      </c>
      <c r="K10" s="48"/>
      <c r="L10" s="48"/>
      <c r="M10" s="48"/>
      <c r="N10" s="48"/>
    </row>
    <row r="11" spans="1:14" ht="19.5" thickBot="1" x14ac:dyDescent="0.45"/>
    <row r="12" spans="1:14" ht="71.25" thickBot="1" x14ac:dyDescent="0.45">
      <c r="A12" s="44" t="s">
        <v>82</v>
      </c>
      <c r="B12" s="44" t="s">
        <v>60</v>
      </c>
      <c r="C12" s="44" t="s">
        <v>70</v>
      </c>
      <c r="D12" s="43" t="s">
        <v>71</v>
      </c>
      <c r="E12" s="43" t="s">
        <v>72</v>
      </c>
      <c r="F12" s="43" t="s">
        <v>73</v>
      </c>
      <c r="G12" s="61" t="s">
        <v>77</v>
      </c>
      <c r="H12" s="43" t="s">
        <v>74</v>
      </c>
      <c r="I12" s="43" t="s">
        <v>75</v>
      </c>
      <c r="J12" s="43" t="s">
        <v>76</v>
      </c>
      <c r="K12" s="43" t="s">
        <v>78</v>
      </c>
      <c r="L12" s="43" t="s">
        <v>79</v>
      </c>
      <c r="M12" s="43" t="s">
        <v>80</v>
      </c>
      <c r="N12" s="43" t="s">
        <v>81</v>
      </c>
    </row>
    <row r="13" spans="1:14" ht="36" thickBot="1" x14ac:dyDescent="0.45">
      <c r="A13" s="44" t="s">
        <v>6</v>
      </c>
      <c r="B13" s="70">
        <f>IF(試算シート!$C25="〇",試算シート!$K25*料率入力欄!$B$7,0)</f>
        <v>0</v>
      </c>
      <c r="C13" s="73">
        <f>IF(AND(試算シート!$C25="〇",$D$2="×",$E$2="×",$F$2="×",7&lt;=試算シート!$D25),料率入力欄!$C$7,0)</f>
        <v>0</v>
      </c>
      <c r="D13" s="60">
        <f>IF(AND(試算シート!$C25="〇",$D$2="〇",7&lt;=試算シート!$D25),料率入力欄!$C$7-料率入力欄!$K$8,0)</f>
        <v>0</v>
      </c>
      <c r="E13" s="60">
        <f>IF(AND(試算シート!$C25="〇",$E$2="〇",7&lt;=試算シート!$D25),料率入力欄!$C$7-料率入力欄!$K$7,0)</f>
        <v>0</v>
      </c>
      <c r="F13" s="62">
        <f>IF(AND(試算シート!$C25="〇",$F$2="〇",7&lt;=試算シート!$D25),料率入力欄!$C$7-料率入力欄!$K$6,0)</f>
        <v>0</v>
      </c>
      <c r="G13" s="59">
        <f>IF(AND(試算シート!$C25="〇",$D$2="×",$E$2="×",$F$2="×",試算シート!$D25&lt;=6),料率入力欄!$C$7-料率入力欄!$E$7,0)</f>
        <v>0</v>
      </c>
      <c r="H13" s="60">
        <f>IF(AND(試算シート!$C25="〇",$D$2="〇",試算シート!$D25&lt;=6),料率入力欄!$C$7-料率入力欄!$K$8-料率入力欄!$L$8,0)</f>
        <v>0</v>
      </c>
      <c r="I13" s="60">
        <f>IF(AND(試算シート!$C25="〇",$E$2="〇",試算シート!$D25&lt;=6),料率入力欄!$C$7-料率入力欄!$K$7-料率入力欄!$L$7,0)</f>
        <v>0</v>
      </c>
      <c r="J13" s="62">
        <f>IF(AND(試算シート!$C25="〇",$F$2="〇",試算シート!$D25&lt;=6),料率入力欄!$C$7-料率入力欄!$K$6-料率入力欄!$L$6,0)</f>
        <v>0</v>
      </c>
      <c r="K13" s="67">
        <f>IF(AND($D$2="×",$E$2="×",$F$2="×"),料率入力欄!$F$7,0)</f>
        <v>0</v>
      </c>
      <c r="L13" s="68">
        <f>IF(AND(OR(試算シート!C25="〇",試算シート!C26="〇",試算シート!C27="〇",試算シート!C28="〇",試算シート!C29="〇",試算シート!C30="〇",),D2="〇"),料率入力欄!$F$7-料率入力欄!$M$8,0)</f>
        <v>0</v>
      </c>
      <c r="M13" s="68">
        <f>IF(AND(OR(試算シート!C25="〇",試算シート!C26="〇",試算シート!C27="〇",試算シート!C28="〇",試算シート!C29="〇",試算シート!C30="〇",),E2="〇"),料率入力欄!$F$7-料率入力欄!$M$7,0)</f>
        <v>0</v>
      </c>
      <c r="N13" s="69">
        <f>IF(AND(OR(試算シート!C25="〇",試算シート!C26="〇",試算シート!C27="〇",試算シート!C28="〇",試算シート!C29="〇",試算シート!C30="〇",),F2="〇"),料率入力欄!$F$7-料率入力欄!$M$6,0)</f>
        <v>0</v>
      </c>
    </row>
    <row r="14" spans="1:14" ht="36" thickBot="1" x14ac:dyDescent="0.45">
      <c r="A14" s="44" t="s">
        <v>35</v>
      </c>
      <c r="B14" s="71">
        <f>IF(試算シート!$C26="〇",試算シート!$K26*料率入力欄!$B$7,0)</f>
        <v>0</v>
      </c>
      <c r="C14" s="74">
        <f>IF(AND(試算シート!$C26="〇",$D$2="×",$E$2="×",$F$2="×",7&lt;=試算シート!$D26),料率入力欄!$C$7,0)</f>
        <v>0</v>
      </c>
      <c r="D14" s="57">
        <f>IF(AND(試算シート!$C26="〇",$D$2="〇",7&lt;=試算シート!$D26),料率入力欄!$C$7-料率入力欄!$K$8,0)</f>
        <v>0</v>
      </c>
      <c r="E14" s="57">
        <f>IF(AND(試算シート!$C26="〇",$E$2="〇",7&lt;=試算シート!$D26),料率入力欄!$C$7-料率入力欄!$K$7,0)</f>
        <v>0</v>
      </c>
      <c r="F14" s="63">
        <f>IF(AND(試算シート!$C26="〇",$F$2="〇",7&lt;=試算シート!$D26),料率入力欄!$C$7-料率入力欄!$K$6,0)</f>
        <v>0</v>
      </c>
      <c r="G14" s="58">
        <f>IF(AND(試算シート!$C26="〇",$D$2="×",$E$2="×",$F$2="×",試算シート!$D26&lt;=6),料率入力欄!$C$7-料率入力欄!$E$7,0)</f>
        <v>0</v>
      </c>
      <c r="H14" s="57">
        <f>IF(AND(試算シート!$C26="〇",$D$2="〇",試算シート!$D26&lt;=6),料率入力欄!$C$7-料率入力欄!$K$8-料率入力欄!$L$8,0)</f>
        <v>0</v>
      </c>
      <c r="I14" s="57">
        <f>IF(AND(試算シート!$C26="〇",$E$2="〇",試算シート!$D26&lt;=6),料率入力欄!$C$7-料率入力欄!$K$7-料率入力欄!$L$7,0)</f>
        <v>0</v>
      </c>
      <c r="J14" s="63">
        <f>IF(AND(試算シート!$C26="〇",$F$2="〇",試算シート!$D26&lt;=6),料率入力欄!$C$7-料率入力欄!$K$6-料率入力欄!$L$6,0)</f>
        <v>0</v>
      </c>
      <c r="K14" s="48"/>
      <c r="L14" s="48"/>
      <c r="M14" s="48"/>
      <c r="N14" s="48"/>
    </row>
    <row r="15" spans="1:14" ht="36" thickBot="1" x14ac:dyDescent="0.45">
      <c r="A15" s="44" t="s">
        <v>36</v>
      </c>
      <c r="B15" s="71">
        <f>IF(試算シート!$C27="〇",試算シート!$K27*料率入力欄!$B$7,0)</f>
        <v>0</v>
      </c>
      <c r="C15" s="74">
        <f>IF(AND(試算シート!$C27="〇",$D$2="×",$E$2="×",$F$2="×",7&lt;=試算シート!$D27),料率入力欄!$C$7,0)</f>
        <v>0</v>
      </c>
      <c r="D15" s="57">
        <f>IF(AND(試算シート!$C27="〇",$D$2="〇",7&lt;=試算シート!$D27),料率入力欄!$C$7-料率入力欄!$K$8,0)</f>
        <v>0</v>
      </c>
      <c r="E15" s="57">
        <f>IF(AND(試算シート!$C27="〇",$E$2="〇",7&lt;=試算シート!$D27),料率入力欄!$C$7-料率入力欄!$K$7,0)</f>
        <v>0</v>
      </c>
      <c r="F15" s="63">
        <f>IF(AND(試算シート!$C27="〇",$F$2="〇",7&lt;=試算シート!$D27),料率入力欄!$C$7-料率入力欄!$K$6,0)</f>
        <v>0</v>
      </c>
      <c r="G15" s="58">
        <f>IF(AND(試算シート!$C27="〇",$D$2="×",$E$2="×",$F$2="×",試算シート!$D27&lt;=6),料率入力欄!$C$7-料率入力欄!$E$7,0)</f>
        <v>0</v>
      </c>
      <c r="H15" s="57">
        <f>IF(AND(試算シート!$C27="〇",$D$2="〇",試算シート!$D27&lt;=6),料率入力欄!$C$7-料率入力欄!$K$8-料率入力欄!$L$8,0)</f>
        <v>0</v>
      </c>
      <c r="I15" s="57">
        <f>IF(AND(試算シート!$C27="〇",$E$2="〇",試算シート!$D27&lt;=6),料率入力欄!$C$7-料率入力欄!$K$7-料率入力欄!$L$7,0)</f>
        <v>0</v>
      </c>
      <c r="J15" s="63">
        <f>IF(AND(試算シート!$C27="〇",$F$2="〇",試算シート!$D27&lt;=6),料率入力欄!$C$7-料率入力欄!$K$6-料率入力欄!$L$6,0)</f>
        <v>0</v>
      </c>
      <c r="K15" s="48"/>
      <c r="L15" s="48"/>
      <c r="M15" s="48"/>
      <c r="N15" s="48"/>
    </row>
    <row r="16" spans="1:14" ht="36" thickBot="1" x14ac:dyDescent="0.45">
      <c r="A16" s="44" t="s">
        <v>37</v>
      </c>
      <c r="B16" s="71">
        <f>IF(試算シート!$C28="〇",試算シート!$K28*料率入力欄!$B$7,0)</f>
        <v>0</v>
      </c>
      <c r="C16" s="74">
        <f>IF(AND(試算シート!$C28="〇",$D$2="×",$E$2="×",$F$2="×",7&lt;=試算シート!$D28),料率入力欄!$C$7,0)</f>
        <v>0</v>
      </c>
      <c r="D16" s="57">
        <f>IF(AND(試算シート!$C28="〇",$D$2="〇",7&lt;=試算シート!$D28),料率入力欄!$C$7-料率入力欄!$K$8,0)</f>
        <v>0</v>
      </c>
      <c r="E16" s="57">
        <f>IF(AND(試算シート!$C28="〇",$E$2="〇",7&lt;=試算シート!$D28),料率入力欄!$C$7-料率入力欄!$K$7,0)</f>
        <v>0</v>
      </c>
      <c r="F16" s="63">
        <f>IF(AND(試算シート!$C28="〇",$F$2="〇",7&lt;=試算シート!$D28),料率入力欄!$C$7-料率入力欄!$K$6,0)</f>
        <v>0</v>
      </c>
      <c r="G16" s="58">
        <f>IF(AND(試算シート!$C28="〇",$D$2="×",$E$2="×",$F$2="×",試算シート!$D28&lt;=6),料率入力欄!$C$7-料率入力欄!$E$7,0)</f>
        <v>0</v>
      </c>
      <c r="H16" s="57">
        <f>IF(AND(試算シート!$C28="〇",$D$2="〇",試算シート!$D28&lt;=6),料率入力欄!$C$7-料率入力欄!$K$8-料率入力欄!$L$8,0)</f>
        <v>0</v>
      </c>
      <c r="I16" s="57">
        <f>IF(AND(試算シート!$C28="〇",$E$2="〇",試算シート!$D28&lt;=6),料率入力欄!$C$7-料率入力欄!$K$7-料率入力欄!$L$7,0)</f>
        <v>0</v>
      </c>
      <c r="J16" s="63">
        <f>IF(AND(試算シート!$C28="〇",$F$2="〇",試算シート!$D28&lt;=6),料率入力欄!$C$7-料率入力欄!$K$6-料率入力欄!$L$6,0)</f>
        <v>0</v>
      </c>
      <c r="K16" s="48"/>
      <c r="L16" s="48"/>
      <c r="M16" s="48"/>
      <c r="N16" s="48"/>
    </row>
    <row r="17" spans="1:14" ht="36" thickBot="1" x14ac:dyDescent="0.45">
      <c r="A17" s="44" t="s">
        <v>38</v>
      </c>
      <c r="B17" s="71">
        <f>IF(試算シート!$C29="〇",試算シート!$K29*料率入力欄!$B$7,0)</f>
        <v>0</v>
      </c>
      <c r="C17" s="74">
        <f>IF(AND(試算シート!$C29="〇",$D$2="×",$E$2="×",$F$2="×",7&lt;=試算シート!$D29),料率入力欄!$C$7,0)</f>
        <v>0</v>
      </c>
      <c r="D17" s="57">
        <f>IF(AND(試算シート!$C29="〇",$D$2="〇",7&lt;=試算シート!$D29),料率入力欄!$C$7-料率入力欄!$K$8,0)</f>
        <v>0</v>
      </c>
      <c r="E17" s="57">
        <f>IF(AND(試算シート!$C29="〇",$E$2="〇",7&lt;=試算シート!$D29),料率入力欄!$C$7-料率入力欄!$K$7,0)</f>
        <v>0</v>
      </c>
      <c r="F17" s="63">
        <f>IF(AND(試算シート!$C29="〇",$F$2="〇",7&lt;=試算シート!$D29),料率入力欄!$C$7-料率入力欄!$K$6,0)</f>
        <v>0</v>
      </c>
      <c r="G17" s="58">
        <f>IF(AND(試算シート!$C29="〇",$D$2="×",$E$2="×",$F$2="×",試算シート!$D29&lt;=6),料率入力欄!$C$7-料率入力欄!$E$7,0)</f>
        <v>0</v>
      </c>
      <c r="H17" s="57">
        <f>IF(AND(試算シート!$C29="〇",$D$2="〇",試算シート!$D29&lt;=6),料率入力欄!$C$7-料率入力欄!$K$8-料率入力欄!$L$8,0)</f>
        <v>0</v>
      </c>
      <c r="I17" s="57">
        <f>IF(AND(試算シート!$C29="〇",$E$2="〇",試算シート!$D29&lt;=6),料率入力欄!$C$7-料率入力欄!$K$7-料率入力欄!$L$7,0)</f>
        <v>0</v>
      </c>
      <c r="J17" s="63">
        <f>IF(AND(試算シート!$C29="〇",$F$2="〇",試算シート!$D29&lt;=6),料率入力欄!$C$7-料率入力欄!$K$6-料率入力欄!$L$6,0)</f>
        <v>0</v>
      </c>
      <c r="K17" s="48"/>
      <c r="L17" s="48"/>
      <c r="M17" s="48"/>
      <c r="N17" s="48"/>
    </row>
    <row r="18" spans="1:14" ht="36" thickBot="1" x14ac:dyDescent="0.45">
      <c r="A18" s="44" t="s">
        <v>39</v>
      </c>
      <c r="B18" s="72">
        <f>IF(試算シート!$C30="〇",試算シート!$K30*料率入力欄!$B$7,0)</f>
        <v>0</v>
      </c>
      <c r="C18" s="75">
        <f>IF(AND(試算シート!$C30="〇",$D$2="×",$E$2="×",$F$2="×",7&lt;=試算シート!$D30),料率入力欄!$C$7,0)</f>
        <v>0</v>
      </c>
      <c r="D18" s="65">
        <f>IF(AND(試算シート!$C30="〇",$D$2="〇",7&lt;=試算シート!$D30),料率入力欄!$C$7-料率入力欄!$K$8,0)</f>
        <v>0</v>
      </c>
      <c r="E18" s="65">
        <f>IF(AND(試算シート!$C30="〇",$E$2="〇",7&lt;=試算シート!$D30),料率入力欄!$C$7-料率入力欄!$K$7,0)</f>
        <v>0</v>
      </c>
      <c r="F18" s="66">
        <f>IF(AND(試算シート!$C30="〇",$F$2="〇",7&lt;=試算シート!$D30),料率入力欄!$C$7-料率入力欄!$K$6,0)</f>
        <v>0</v>
      </c>
      <c r="G18" s="64">
        <f>IF(AND(試算シート!$C30="〇",$D$2="×",$E$2="×",$F$2="×",試算シート!$D30&lt;=6),料率入力欄!$C$7-料率入力欄!$E$7,0)</f>
        <v>0</v>
      </c>
      <c r="H18" s="65">
        <f>IF(AND(試算シート!$C30="〇",$D$2="〇",試算シート!$D30&lt;=6),料率入力欄!$C$7-料率入力欄!$K$8-料率入力欄!$L$8,0)</f>
        <v>0</v>
      </c>
      <c r="I18" s="65">
        <f>IF(AND(試算シート!$C30="〇",$E$2="〇",試算シート!$D30&lt;=6),料率入力欄!$C$7-料率入力欄!$K$7-料率入力欄!$L$7,0)</f>
        <v>0</v>
      </c>
      <c r="J18" s="66">
        <f>IF(AND(試算シート!$C30="〇",$F$2="〇",試算シート!$D30&lt;=6),料率入力欄!$C$7-料率入力欄!$K$6-料率入力欄!$L$6,0)</f>
        <v>0</v>
      </c>
      <c r="K18" s="48"/>
      <c r="L18" s="48"/>
      <c r="M18" s="48"/>
      <c r="N18" s="48"/>
    </row>
    <row r="19" spans="1:14" ht="19.5" thickBot="1" x14ac:dyDescent="0.45"/>
    <row r="20" spans="1:14" ht="71.25" thickBot="1" x14ac:dyDescent="0.45">
      <c r="A20" s="44" t="s">
        <v>83</v>
      </c>
      <c r="B20" s="44" t="s">
        <v>60</v>
      </c>
      <c r="C20" s="44" t="s">
        <v>70</v>
      </c>
      <c r="D20" s="43" t="s">
        <v>71</v>
      </c>
      <c r="E20" s="43" t="s">
        <v>72</v>
      </c>
      <c r="F20" s="43" t="s">
        <v>73</v>
      </c>
      <c r="G20" s="61" t="s">
        <v>78</v>
      </c>
      <c r="H20" s="43" t="s">
        <v>79</v>
      </c>
      <c r="I20" s="43" t="s">
        <v>80</v>
      </c>
      <c r="J20" s="43" t="s">
        <v>81</v>
      </c>
    </row>
    <row r="21" spans="1:14" ht="36" thickBot="1" x14ac:dyDescent="0.45">
      <c r="A21" s="44" t="s">
        <v>6</v>
      </c>
      <c r="B21" s="70">
        <f>IF(AND(試算シート!$C25="〇",40&lt;=試算シート!$D25,試算シート!$D25&lt;65),試算シート!$K25*料率入力欄!$B$8,0)</f>
        <v>0</v>
      </c>
      <c r="C21" s="60">
        <f>IF(AND(試算シート!$C25="〇",$D$2="×",$E$2="×",$F$2="×",40&lt;=試算シート!$D25,試算シート!$D25&lt;65),料率入力欄!$C$8,0)</f>
        <v>0</v>
      </c>
      <c r="D21" s="60">
        <f>IF(AND(試算シート!$C25="〇",$D$2="〇",40&lt;=試算シート!$D25,試算シート!$D25&lt;65),料率入力欄!$C$8-料率入力欄!$K$11,0)</f>
        <v>0</v>
      </c>
      <c r="E21" s="60">
        <f>IF(AND(試算シート!$C25="〇",$E$2="〇",40&lt;=試算シート!$D25,試算シート!$D25&lt;65),料率入力欄!$C$8-料率入力欄!$K$10,0)</f>
        <v>0</v>
      </c>
      <c r="F21" s="62">
        <f>IF(AND(試算シート!$C25="〇",$F$2="〇",40&lt;=試算シート!$D25,試算シート!$D25&lt;65),料率入力欄!$C$8-料率入力欄!$K$9,0)</f>
        <v>0</v>
      </c>
      <c r="G21" s="59">
        <f>IF(AND(試算シート!$C25="〇",$D$2="×",$E$2="×",$F$2="×",40&lt;=試算シート!$D25,試算シート!$D25&lt;65),料率入力欄!$F$8,0)</f>
        <v>0</v>
      </c>
      <c r="H21" s="60">
        <f>IF(AND(試算シート!$C25="〇",$D$2="〇",40&lt;=試算シート!$D25,試算シート!$D25&lt;65),料率入力欄!$F$8-料率入力欄!$M$11,0)</f>
        <v>0</v>
      </c>
      <c r="I21" s="60">
        <f>IF(AND(試算シート!$C25="〇",$E$2="〇",40&lt;=試算シート!$D25,試算シート!$D25&lt;65),料率入力欄!$F$8-料率入力欄!$M$10,0)</f>
        <v>0</v>
      </c>
      <c r="J21" s="62">
        <f>IF(AND(試算シート!$C25="〇",$F$2="〇",40&lt;=試算シート!$D25,試算シート!$D25&lt;65),料率入力欄!$F$8-料率入力欄!$M$9,0)</f>
        <v>0</v>
      </c>
    </row>
    <row r="22" spans="1:14" ht="36" thickBot="1" x14ac:dyDescent="0.45">
      <c r="A22" s="44" t="s">
        <v>35</v>
      </c>
      <c r="B22" s="71">
        <f>IF(AND(試算シート!$C26="〇",40&lt;=試算シート!$D26,試算シート!$D26&lt;65),試算シート!$K26*料率入力欄!$B$8,0)</f>
        <v>0</v>
      </c>
      <c r="C22" s="60">
        <f>IF(AND(試算シート!$C26="〇",$D$2="×",$E$2="×",$F$2="×",40&lt;=試算シート!$D26,試算シート!$D26&lt;65),料率入力欄!$C$8,0)</f>
        <v>0</v>
      </c>
      <c r="D22" s="57">
        <f>IF(AND(試算シート!$C26="〇",$D$2="〇",40&lt;=試算シート!$D26,試算シート!$D26&lt;65),料率入力欄!$C$8-料率入力欄!$K$11,0)</f>
        <v>0</v>
      </c>
      <c r="E22" s="57">
        <f>IF(AND(試算シート!$C26="〇",$E$2="〇",40&lt;=試算シート!$D26,試算シート!$D26&lt;65),料率入力欄!$C$8-料率入力欄!$K$10,0)</f>
        <v>0</v>
      </c>
      <c r="F22" s="63">
        <f>IF(AND(試算シート!$C26="〇",$F$2="〇",40&lt;=試算シート!$D26,試算シート!$D26&lt;65),料率入力欄!$C$8-料率入力欄!$K$9,0)</f>
        <v>0</v>
      </c>
      <c r="G22" s="59">
        <f>IF(AND(試算シート!$C26="〇",$D$2="×",$E$2="×",$F$2="×",40&lt;=試算シート!$D26,試算シート!$D26&lt;65),料率入力欄!$F$8,0)</f>
        <v>0</v>
      </c>
      <c r="H22" s="60">
        <f>IF(AND(試算シート!$C26="〇",$D$2="〇",40&lt;=試算シート!$D26,試算シート!$D26&lt;65),料率入力欄!$F$8-料率入力欄!$M$11,0)</f>
        <v>0</v>
      </c>
      <c r="I22" s="60">
        <f>IF(AND(試算シート!$C26="〇",$E$2="〇",40&lt;=試算シート!$D26,試算シート!$D26&lt;65),料率入力欄!$F$8-料率入力欄!$M$10,0)</f>
        <v>0</v>
      </c>
      <c r="J22" s="62">
        <f>IF(AND(試算シート!$C26="〇",$F$2="〇",40&lt;=試算シート!$D26,試算シート!$D26&lt;65),料率入力欄!$F$8-料率入力欄!$M$9,0)</f>
        <v>0</v>
      </c>
    </row>
    <row r="23" spans="1:14" ht="36" thickBot="1" x14ac:dyDescent="0.45">
      <c r="A23" s="44" t="s">
        <v>36</v>
      </c>
      <c r="B23" s="71">
        <f>IF(AND(試算シート!$C27="〇",40&lt;=試算シート!$D27,試算シート!$D27&lt;65),試算シート!$K27*料率入力欄!$B$8,0)</f>
        <v>0</v>
      </c>
      <c r="C23" s="60">
        <f>IF(AND(試算シート!$C27="〇",$D$2="×",$E$2="×",$F$2="×",40&lt;=試算シート!$D27,試算シート!$D27&lt;65),料率入力欄!$C$8,0)</f>
        <v>0</v>
      </c>
      <c r="D23" s="57">
        <f>IF(AND(試算シート!$C27="〇",$D$2="〇",40&lt;=試算シート!$D27,試算シート!$D27&lt;65),料率入力欄!$C$8-料率入力欄!$K$11,0)</f>
        <v>0</v>
      </c>
      <c r="E23" s="57">
        <f>IF(AND(試算シート!$C27="〇",$E$2="〇",40&lt;=試算シート!$D27,試算シート!$D27&lt;65),料率入力欄!$C$8-料率入力欄!$K$10,0)</f>
        <v>0</v>
      </c>
      <c r="F23" s="63">
        <f>IF(AND(試算シート!$C27="〇",$F$2="〇",40&lt;=試算シート!$D27,試算シート!$D27&lt;65),料率入力欄!$C$8-料率入力欄!$K$9,0)</f>
        <v>0</v>
      </c>
      <c r="G23" s="59">
        <f>IF(AND(試算シート!$C27="〇",$D$2="×",$E$2="×",$F$2="×",40&lt;=試算シート!$D27,試算シート!$D27&lt;65),料率入力欄!$F$8,0)</f>
        <v>0</v>
      </c>
      <c r="H23" s="60">
        <f>IF(AND(試算シート!$C27="〇",$D$2="〇",40&lt;=試算シート!$D27,試算シート!$D27&lt;65),料率入力欄!$F$8-料率入力欄!$M$11,0)</f>
        <v>0</v>
      </c>
      <c r="I23" s="60">
        <f>IF(AND(試算シート!$C27="〇",$E$2="〇",40&lt;=試算シート!$D27,試算シート!$D27&lt;65),料率入力欄!$F$8-料率入力欄!$M$10,0)</f>
        <v>0</v>
      </c>
      <c r="J23" s="62">
        <f>IF(AND(試算シート!$C27="〇",$F$2="〇",40&lt;=試算シート!$D27,試算シート!$D27&lt;65),料率入力欄!$F$8-料率入力欄!$M$9,0)</f>
        <v>0</v>
      </c>
    </row>
    <row r="24" spans="1:14" ht="36" thickBot="1" x14ac:dyDescent="0.45">
      <c r="A24" s="44" t="s">
        <v>37</v>
      </c>
      <c r="B24" s="71">
        <f>IF(AND(試算シート!$C28="〇",40&lt;=試算シート!$D28,試算シート!$D28&lt;65),試算シート!$K28*料率入力欄!$B$8,0)</f>
        <v>0</v>
      </c>
      <c r="C24" s="60">
        <f>IF(AND(試算シート!$C28="〇",$D$2="×",$E$2="×",$F$2="×",40&lt;=試算シート!$D28,試算シート!$D28&lt;65),料率入力欄!$C$8,0)</f>
        <v>0</v>
      </c>
      <c r="D24" s="57">
        <f>IF(AND(試算シート!$C28="〇",$D$2="〇",40&lt;=試算シート!$D28,試算シート!$D28&lt;65),料率入力欄!$C$8-料率入力欄!$K$11,0)</f>
        <v>0</v>
      </c>
      <c r="E24" s="57">
        <f>IF(AND(試算シート!$C28="〇",$E$2="〇",40&lt;=試算シート!$D28,試算シート!$D28&lt;65),料率入力欄!$C$8-料率入力欄!$K$10,0)</f>
        <v>0</v>
      </c>
      <c r="F24" s="63">
        <f>IF(AND(試算シート!$C28="〇",$F$2="〇",40&lt;=試算シート!$D28,試算シート!$D28&lt;65),料率入力欄!$C$8-料率入力欄!$K$9,0)</f>
        <v>0</v>
      </c>
      <c r="G24" s="59">
        <f>IF(AND(試算シート!$C28="〇",$D$2="×",$E$2="×",$F$2="×",40&lt;=試算シート!$D28,試算シート!$D28&lt;65),料率入力欄!$F$8,0)</f>
        <v>0</v>
      </c>
      <c r="H24" s="60">
        <f>IF(AND(試算シート!$C28="〇",$D$2="〇",40&lt;=試算シート!$D28,試算シート!$D28&lt;65),料率入力欄!$F$8-料率入力欄!$M$11,0)</f>
        <v>0</v>
      </c>
      <c r="I24" s="60">
        <f>IF(AND(試算シート!$C28="〇",$E$2="〇",40&lt;=試算シート!$D28,試算シート!$D28&lt;65),料率入力欄!$F$8-料率入力欄!$M$10,0)</f>
        <v>0</v>
      </c>
      <c r="J24" s="62">
        <f>IF(AND(試算シート!$C28="〇",$F$2="〇",40&lt;=試算シート!$D28,試算シート!$D28&lt;65),料率入力欄!$F$8-料率入力欄!$M$9,0)</f>
        <v>0</v>
      </c>
    </row>
    <row r="25" spans="1:14" ht="36" thickBot="1" x14ac:dyDescent="0.45">
      <c r="A25" s="44" t="s">
        <v>38</v>
      </c>
      <c r="B25" s="71">
        <f>IF(AND(試算シート!$C29="〇",40&lt;=試算シート!$D29,試算シート!$D29&lt;65),試算シート!$K29*料率入力欄!$B$8,0)</f>
        <v>0</v>
      </c>
      <c r="C25" s="60">
        <f>IF(AND(試算シート!$C29="〇",$D$2="×",$E$2="×",$F$2="×",40&lt;=試算シート!$D29,試算シート!$D29&lt;65),料率入力欄!$C$8,0)</f>
        <v>0</v>
      </c>
      <c r="D25" s="57">
        <f>IF(AND(試算シート!$C29="〇",$D$2="〇",40&lt;=試算シート!$D29,試算シート!$D29&lt;65),料率入力欄!$C$8-料率入力欄!$K$11,0)</f>
        <v>0</v>
      </c>
      <c r="E25" s="57">
        <f>IF(AND(試算シート!$C29="〇",$E$2="〇",40&lt;=試算シート!$D29,試算シート!$D29&lt;65),料率入力欄!$C$8-料率入力欄!$K$10,0)</f>
        <v>0</v>
      </c>
      <c r="F25" s="63">
        <f>IF(AND(試算シート!$C29="〇",$F$2="〇",40&lt;=試算シート!$D29,試算シート!$D29&lt;65),料率入力欄!$C$8-料率入力欄!$K$9,0)</f>
        <v>0</v>
      </c>
      <c r="G25" s="59">
        <f>IF(AND(試算シート!$C29="〇",$D$2="×",$E$2="×",$F$2="×",40&lt;=試算シート!$D29,試算シート!$D29&lt;65),料率入力欄!$F$8,0)</f>
        <v>0</v>
      </c>
      <c r="H25" s="60">
        <f>IF(AND(試算シート!$C29="〇",$D$2="〇",40&lt;=試算シート!$D29,試算シート!$D29&lt;65),料率入力欄!$F$8-料率入力欄!$M$11,0)</f>
        <v>0</v>
      </c>
      <c r="I25" s="60">
        <f>IF(AND(試算シート!$C29="〇",$E$2="〇",40&lt;=試算シート!$D29,試算シート!$D29&lt;65),料率入力欄!$F$8-料率入力欄!$M$10,0)</f>
        <v>0</v>
      </c>
      <c r="J25" s="62">
        <f>IF(AND(試算シート!$C29="〇",$F$2="〇",40&lt;=試算シート!$D29,試算シート!$D29&lt;65),料率入力欄!$F$8-料率入力欄!$M$9,0)</f>
        <v>0</v>
      </c>
    </row>
    <row r="26" spans="1:14" ht="36" thickBot="1" x14ac:dyDescent="0.45">
      <c r="A26" s="44" t="s">
        <v>39</v>
      </c>
      <c r="B26" s="72">
        <f>IF(AND(試算シート!$C30="〇",40&lt;=試算シート!$D30,試算シート!$D30&lt;65),試算シート!$K30*料率入力欄!$B$8,0)</f>
        <v>0</v>
      </c>
      <c r="C26" s="75">
        <f>IF(AND(試算シート!$C30="〇",$D$2="×",$E$2="×",$F$2="×",40&lt;=試算シート!$D30,試算シート!$D30&lt;65),料率入力欄!$C$8,0)</f>
        <v>0</v>
      </c>
      <c r="D26" s="65">
        <f>IF(AND(試算シート!$C30="〇",$D$2="〇",40&lt;=試算シート!$D30,試算シート!$D30&lt;65),料率入力欄!$C$8-料率入力欄!$K$11,0)</f>
        <v>0</v>
      </c>
      <c r="E26" s="65">
        <f>IF(AND(試算シート!$C30="〇",$E$2="〇",40&lt;=試算シート!$D30,試算シート!$D30&lt;65),料率入力欄!$C$8-料率入力欄!$K$10,0)</f>
        <v>0</v>
      </c>
      <c r="F26" s="66">
        <f>IF(AND(試算シート!$C30="〇",$F$2="〇",40&lt;=試算シート!$D30,試算シート!$D30&lt;65),料率入力欄!$C$8-料率入力欄!$K$9,0)</f>
        <v>0</v>
      </c>
      <c r="G26" s="75">
        <f>IF(AND(試算シート!$C30="〇",$D$2="×",$E$2="×",$F$2="×",40&lt;=試算シート!$D30,試算シート!$D30&lt;65),料率入力欄!$F$8,0)</f>
        <v>0</v>
      </c>
      <c r="H26" s="65">
        <f>IF(AND(試算シート!$C30="〇",$D$2="〇",40&lt;=試算シート!$D30,試算シート!$D30&lt;65),料率入力欄!$F$8-料率入力欄!$M$11,0)</f>
        <v>0</v>
      </c>
      <c r="I26" s="65">
        <f>IF(AND(試算シート!$C30="〇",$E$2="〇",40&lt;=試算シート!$D30,試算シート!$D30&lt;65),料率入力欄!$F$8-料率入力欄!$M$10,0)</f>
        <v>0</v>
      </c>
      <c r="J26" s="66">
        <f>IF(AND(試算シート!$C30="〇",$F$2="〇",40&lt;=試算シート!$D30,試算シート!$D30&lt;65),料率入力欄!$F$8-料率入力欄!$M$9,0)</f>
        <v>0</v>
      </c>
    </row>
    <row r="27" spans="1:14" ht="19.5" thickBot="1" x14ac:dyDescent="0.45"/>
    <row r="28" spans="1:14" ht="36" customHeight="1" thickBot="1" x14ac:dyDescent="0.75">
      <c r="G28" s="115">
        <f>IF(OR(G$21=料率入力欄!F8,G$22=料率入力欄!F8,G$23=料率入力欄!F8,G$24=料率入力欄!F8,G$25=料率入力欄!F8,G$26=料率入力欄!F8),料率入力欄!F8,0)</f>
        <v>0</v>
      </c>
      <c r="H28" s="116">
        <f>IF(OR(H$21=料率入力欄!F8-料率入力欄!M11,H$22=料率入力欄!F8-料率入力欄!M11,H$23=料率入力欄!F8-料率入力欄!M11,H$24=料率入力欄!F8-料率入力欄!M11,H$25=料率入力欄!F8-料率入力欄!M11,H$26=料率入力欄!F8-料率入力欄!M11),料率入力欄!F8-料率入力欄!M11,0)</f>
        <v>0</v>
      </c>
      <c r="I28" s="116">
        <f>IF(OR(I$21=料率入力欄!F8-料率入力欄!M10,I$22=料率入力欄!F8-料率入力欄!M10,I$23=料率入力欄!F8-料率入力欄!M10,I$24=料率入力欄!F8-料率入力欄!M10,I$25=料率入力欄!F8-料率入力欄!M10,I$26=料率入力欄!F8-料率入力欄!M10),料率入力欄!F8-料率入力欄!M10,0)</f>
        <v>0</v>
      </c>
      <c r="J28" s="117">
        <f>IF(OR(J$21=料率入力欄!F8-料率入力欄!M9,J$22=料率入力欄!F8-料率入力欄!M9,J$23=料率入力欄!F8-料率入力欄!M9,J$24=料率入力欄!F8-料率入力欄!M9,J$25=料率入力欄!F8-料率入力欄!M9,J$26=料率入力欄!F8-料率入力欄!M9),料率入力欄!F8-料率入力欄!M9,0)</f>
        <v>0</v>
      </c>
    </row>
    <row r="29" spans="1:14" ht="19.5" thickBot="1" x14ac:dyDescent="0.45"/>
    <row r="30" spans="1:14" ht="71.25" thickBot="1" x14ac:dyDescent="0.45">
      <c r="A30" s="44" t="s">
        <v>104</v>
      </c>
      <c r="B30" s="44" t="s">
        <v>60</v>
      </c>
      <c r="C30" s="44" t="s">
        <v>70</v>
      </c>
      <c r="D30" s="43" t="s">
        <v>71</v>
      </c>
      <c r="E30" s="43" t="s">
        <v>72</v>
      </c>
      <c r="F30" s="43" t="s">
        <v>73</v>
      </c>
      <c r="G30" s="61" t="s">
        <v>78</v>
      </c>
      <c r="H30" s="43" t="s">
        <v>79</v>
      </c>
      <c r="I30" s="43" t="s">
        <v>80</v>
      </c>
      <c r="J30" s="43" t="s">
        <v>81</v>
      </c>
    </row>
    <row r="31" spans="1:14" ht="36" thickBot="1" x14ac:dyDescent="0.45">
      <c r="A31" s="44" t="s">
        <v>6</v>
      </c>
      <c r="B31" s="70">
        <f>IF(試算シート!$C25="〇",試算シート!$K25*料率入力欄!$B$9,0)</f>
        <v>0</v>
      </c>
      <c r="C31" s="60">
        <f>IF(AND(試算シート!$C25="〇",$D$2="×",$E$2="×",$F$2="×",18&lt;=試算シート!$D25),料率入力欄!$C$9+料率入力欄!$D$9,0)</f>
        <v>0</v>
      </c>
      <c r="D31" s="60">
        <f>IF(AND(試算シート!$C25="〇",$D$2="〇",18&lt;=試算シート!$D25),料率入力欄!$C$9+料率入力欄!$D$9-料率入力欄!$K$14,0)</f>
        <v>0</v>
      </c>
      <c r="E31" s="60">
        <f>IF(AND(試算シート!$C25="〇",$E$2="〇",18&lt;=試算シート!$D25),料率入力欄!$C$9+料率入力欄!$D$9-料率入力欄!$K$13,0)</f>
        <v>0</v>
      </c>
      <c r="F31" s="62">
        <f>IF(AND(試算シート!$C25="〇",$F$2="〇",18&lt;=試算シート!$D25),料率入力欄!$C$9+料率入力欄!$D$9-料率入力欄!$K$12,0)</f>
        <v>0</v>
      </c>
      <c r="G31" s="59">
        <f>IF(AND(試算シート!$C25="〇",$D$2="×",$E$2="×",$F$2="×",18&lt;=試算シート!$D25),料率入力欄!$F$9,0)</f>
        <v>0</v>
      </c>
      <c r="H31" s="60">
        <f>IF(AND(試算シート!$C25="〇",$D$2="〇",18&lt;=試算シート!$D25),料率入力欄!$F$9-料率入力欄!$M$14,0)</f>
        <v>0</v>
      </c>
      <c r="I31" s="60">
        <f>IF(AND(試算シート!$C25="〇",$E$2="〇",18&lt;=試算シート!$D25),料率入力欄!$F$9-料率入力欄!$M$13,0)</f>
        <v>0</v>
      </c>
      <c r="J31" s="62">
        <f>IF(AND(試算シート!$C25="〇",$F$2="〇",18&lt;=試算シート!$D25),料率入力欄!$F$9-料率入力欄!$M$12,0)</f>
        <v>0</v>
      </c>
    </row>
    <row r="32" spans="1:14" ht="36" thickBot="1" x14ac:dyDescent="0.45">
      <c r="A32" s="44" t="s">
        <v>35</v>
      </c>
      <c r="B32" s="71">
        <f>IF(試算シート!$C26="〇",試算シート!$K26*料率入力欄!$B$9,0)</f>
        <v>0</v>
      </c>
      <c r="C32" s="60">
        <f>IF(AND(試算シート!$C26="〇",$D$2="×",$E$2="×",$F$2="×",18&lt;=試算シート!$D26),料率入力欄!$C$9+料率入力欄!$D$9,0)</f>
        <v>0</v>
      </c>
      <c r="D32" s="60">
        <f>IF(AND(試算シート!$C26="〇",$D$2="〇",18&lt;=試算シート!$D26),料率入力欄!$C$9+料率入力欄!$D$9-料率入力欄!$K$14,0)</f>
        <v>0</v>
      </c>
      <c r="E32" s="60">
        <f>IF(AND(試算シート!$C26="〇",$E$2="〇",18&lt;=試算シート!$D26),料率入力欄!$C$9+料率入力欄!$D$9-料率入力欄!$K$13,0)</f>
        <v>0</v>
      </c>
      <c r="F32" s="62">
        <f>IF(AND(試算シート!$C26="〇",$F$2="〇",18&lt;=試算シート!$D26),料率入力欄!$C$9+料率入力欄!$D$9-料率入力欄!$K$12,0)</f>
        <v>0</v>
      </c>
      <c r="G32" s="59">
        <f>IF(AND(試算シート!$C26="〇",$D$2="×",$E$2="×",$F$2="×",18&lt;=試算シート!$D26),料率入力欄!$F$9,0)</f>
        <v>0</v>
      </c>
      <c r="H32" s="60">
        <f>IF(AND(試算シート!$C26="〇",$D$2="〇",18&lt;=試算シート!$D26),料率入力欄!$F$9-料率入力欄!$M$14,0)</f>
        <v>0</v>
      </c>
      <c r="I32" s="60">
        <f>IF(AND(試算シート!$C26="〇",$E$2="〇",18&lt;=試算シート!$D26),料率入力欄!$F$9-料率入力欄!$M$13,0)</f>
        <v>0</v>
      </c>
      <c r="J32" s="62">
        <f>IF(AND(試算シート!$C26="〇",$F$2="〇",18&lt;=試算シート!$D26),料率入力欄!$F$9-料率入力欄!$M$12,0)</f>
        <v>0</v>
      </c>
    </row>
    <row r="33" spans="1:10" ht="36" thickBot="1" x14ac:dyDescent="0.45">
      <c r="A33" s="44" t="s">
        <v>36</v>
      </c>
      <c r="B33" s="71">
        <f>IF(試算シート!$C27="〇",試算シート!$K27*料率入力欄!$B$9,0)</f>
        <v>0</v>
      </c>
      <c r="C33" s="60">
        <f>IF(AND(試算シート!$C27="〇",$D$2="×",$E$2="×",$F$2="×",18&lt;=試算シート!$D27),料率入力欄!$C$9+料率入力欄!$D$9,0)</f>
        <v>0</v>
      </c>
      <c r="D33" s="60">
        <f>IF(AND(試算シート!$C27="〇",$D$2="〇",18&lt;=試算シート!$D27),料率入力欄!$C$9+料率入力欄!$D$9-料率入力欄!$K$14,0)</f>
        <v>0</v>
      </c>
      <c r="E33" s="60">
        <f>IF(AND(試算シート!$C27="〇",$E$2="〇",18&lt;=試算シート!$D27),料率入力欄!$C$9+料率入力欄!$D$9-料率入力欄!$K$13,0)</f>
        <v>0</v>
      </c>
      <c r="F33" s="62">
        <f>IF(AND(試算シート!$C27="〇",$F$2="〇",18&lt;=試算シート!$D27),料率入力欄!$C$9+料率入力欄!$D$9-料率入力欄!$K$12,0)</f>
        <v>0</v>
      </c>
      <c r="G33" s="59">
        <f>IF(AND(試算シート!$C27="〇",$D$2="×",$E$2="×",$F$2="×",18&lt;=試算シート!$D27),料率入力欄!$F$9,0)</f>
        <v>0</v>
      </c>
      <c r="H33" s="60">
        <f>IF(AND(試算シート!$C27="〇",$D$2="〇",18&lt;=試算シート!$D27),料率入力欄!$F$9-料率入力欄!$M$14,0)</f>
        <v>0</v>
      </c>
      <c r="I33" s="60">
        <f>IF(AND(試算シート!$C27="〇",$E$2="〇",18&lt;=試算シート!$D27),料率入力欄!$F$9-料率入力欄!$M$13,0)</f>
        <v>0</v>
      </c>
      <c r="J33" s="62">
        <f>IF(AND(試算シート!$C27="〇",$F$2="〇",18&lt;=試算シート!$D27),料率入力欄!$F$9-料率入力欄!$M$12,0)</f>
        <v>0</v>
      </c>
    </row>
    <row r="34" spans="1:10" ht="36" thickBot="1" x14ac:dyDescent="0.45">
      <c r="A34" s="44" t="s">
        <v>37</v>
      </c>
      <c r="B34" s="71">
        <f>IF(試算シート!$C28="〇",試算シート!$K28*料率入力欄!$B$9,0)</f>
        <v>0</v>
      </c>
      <c r="C34" s="60">
        <f>IF(AND(試算シート!$C28="〇",$D$2="×",$E$2="×",$F$2="×",18&lt;=試算シート!$D28),料率入力欄!$C$9+料率入力欄!$D$9,0)</f>
        <v>0</v>
      </c>
      <c r="D34" s="60">
        <f>IF(AND(試算シート!$C28="〇",$D$2="〇",18&lt;=試算シート!$D28),料率入力欄!$C$9+料率入力欄!$D$9-料率入力欄!$K$14,0)</f>
        <v>0</v>
      </c>
      <c r="E34" s="60">
        <f>IF(AND(試算シート!$C28="〇",$E$2="〇",18&lt;=試算シート!$D28),料率入力欄!$C$9+料率入力欄!$D$9-料率入力欄!$K$13,0)</f>
        <v>0</v>
      </c>
      <c r="F34" s="62">
        <f>IF(AND(試算シート!$C28="〇",$F$2="〇",18&lt;=試算シート!$D28),料率入力欄!$C$9+料率入力欄!$D$9-料率入力欄!$K$12,0)</f>
        <v>0</v>
      </c>
      <c r="G34" s="59">
        <f>IF(AND(試算シート!$C28="〇",$D$2="×",$E$2="×",$F$2="×",18&lt;=試算シート!$D28),料率入力欄!$F$9,0)</f>
        <v>0</v>
      </c>
      <c r="H34" s="60">
        <f>IF(AND(試算シート!$C28="〇",$D$2="〇",18&lt;=試算シート!$D28),料率入力欄!$F$9-料率入力欄!$M$14,0)</f>
        <v>0</v>
      </c>
      <c r="I34" s="60">
        <f>IF(AND(試算シート!$C28="〇",$E$2="〇",18&lt;=試算シート!$D28),料率入力欄!$F$9-料率入力欄!$M$13,0)</f>
        <v>0</v>
      </c>
      <c r="J34" s="62">
        <f>IF(AND(試算シート!$C28="〇",$F$2="〇",18&lt;=試算シート!$D28),料率入力欄!$F$9-料率入力欄!$M$12,0)</f>
        <v>0</v>
      </c>
    </row>
    <row r="35" spans="1:10" ht="36" thickBot="1" x14ac:dyDescent="0.45">
      <c r="A35" s="44" t="s">
        <v>38</v>
      </c>
      <c r="B35" s="71">
        <f>IF(試算シート!$C29="〇",試算シート!$K29*料率入力欄!$B$9,0)</f>
        <v>0</v>
      </c>
      <c r="C35" s="60">
        <f>IF(AND(試算シート!$C29="〇",$D$2="×",$E$2="×",$F$2="×",18&lt;=試算シート!$D29),料率入力欄!$C$9+料率入力欄!$D$9,0)</f>
        <v>0</v>
      </c>
      <c r="D35" s="60">
        <f>IF(AND(試算シート!$C29="〇",$D$2="〇",18&lt;=試算シート!$D29),料率入力欄!$C$9+料率入力欄!$D$9-料率入力欄!$K$14,0)</f>
        <v>0</v>
      </c>
      <c r="E35" s="60">
        <f>IF(AND(試算シート!$C29="〇",$E$2="〇",18&lt;=試算シート!$D29),料率入力欄!$C$9+料率入力欄!$D$9-料率入力欄!$K$13,0)</f>
        <v>0</v>
      </c>
      <c r="F35" s="62">
        <f>IF(AND(試算シート!$C29="〇",$F$2="〇",18&lt;=試算シート!$D29),料率入力欄!$C$9+料率入力欄!$D$9-料率入力欄!$K$12,0)</f>
        <v>0</v>
      </c>
      <c r="G35" s="59">
        <f>IF(AND(試算シート!$C29="〇",$D$2="×",$E$2="×",$F$2="×",18&lt;=試算シート!$D29),料率入力欄!$F$9,0)</f>
        <v>0</v>
      </c>
      <c r="H35" s="60">
        <f>IF(AND(試算シート!$C29="〇",$D$2="〇",18&lt;=試算シート!$D29),料率入力欄!$F$9-料率入力欄!$M$14,0)</f>
        <v>0</v>
      </c>
      <c r="I35" s="60">
        <f>IF(AND(試算シート!$C29="〇",$E$2="〇",18&lt;=試算シート!$D29),料率入力欄!$F$9-料率入力欄!$M$13,0)</f>
        <v>0</v>
      </c>
      <c r="J35" s="62">
        <f>IF(AND(試算シート!$C29="〇",$F$2="〇",18&lt;=試算シート!$D29),料率入力欄!$F$9-料率入力欄!$M$12,0)</f>
        <v>0</v>
      </c>
    </row>
    <row r="36" spans="1:10" ht="36" thickBot="1" x14ac:dyDescent="0.45">
      <c r="A36" s="44" t="s">
        <v>39</v>
      </c>
      <c r="B36" s="72">
        <f>IF(試算シート!$C30="〇",試算シート!$K30*料率入力欄!$B$9,0)</f>
        <v>0</v>
      </c>
      <c r="C36" s="75">
        <f>IF(AND(試算シート!$C30="〇",$D$2="×",$E$2="×",$F$2="×",18&lt;=試算シート!$D30),料率入力欄!$C$9+料率入力欄!$D$9,0)</f>
        <v>0</v>
      </c>
      <c r="D36" s="65">
        <f>IF(AND(試算シート!$C30="〇",$D$2="〇",18&lt;=試算シート!$D30),料率入力欄!$C$9+料率入力欄!$D$9-料率入力欄!$K$14,0)</f>
        <v>0</v>
      </c>
      <c r="E36" s="65">
        <f>IF(AND(試算シート!$C30="〇",$E$2="〇",18&lt;=試算シート!$D30),料率入力欄!$C$9+料率入力欄!$D$9-料率入力欄!$K$13,0)</f>
        <v>0</v>
      </c>
      <c r="F36" s="66">
        <f>IF(AND(試算シート!$C30="〇",$F$2="〇",18&lt;=試算シート!$D30),料率入力欄!$C$9+料率入力欄!$D$9-料率入力欄!$K$12,0)</f>
        <v>0</v>
      </c>
      <c r="G36" s="75">
        <f>IF(AND(試算シート!$C30="〇",$D$2="×",$E$2="×",$F$2="×",18&lt;=試算シート!$D30),料率入力欄!$F$9,0)</f>
        <v>0</v>
      </c>
      <c r="H36" s="65">
        <f>IF(AND(試算シート!$C30="〇",$D$2="〇",18&lt;=試算シート!$D30),料率入力欄!$F$9-料率入力欄!$M$14,0)</f>
        <v>0</v>
      </c>
      <c r="I36" s="65">
        <f>IF(AND(試算シート!$C30="〇",$E$2="〇",18&lt;=試算シート!$D30),料率入力欄!$F$9-料率入力欄!$M$13,0)</f>
        <v>0</v>
      </c>
      <c r="J36" s="66">
        <f>IF(AND(試算シート!$C30="〇",$F$2="〇",18&lt;=試算シート!$D30),料率入力欄!$F$9-料率入力欄!$M$12,0)</f>
        <v>0</v>
      </c>
    </row>
    <row r="37" spans="1:10" ht="19.5" thickBot="1" x14ac:dyDescent="0.45"/>
    <row r="38" spans="1:10" ht="36" customHeight="1" thickBot="1" x14ac:dyDescent="0.75">
      <c r="G38" s="115">
        <f>IF(OR(G$31=料率入力欄!F9,G$32=料率入力欄!F9,G$33=料率入力欄!F9,G$34=料率入力欄!F9,G$35=料率入力欄!F9,G$36=料率入力欄!F9),料率入力欄!F9,0)</f>
        <v>0</v>
      </c>
      <c r="H38" s="116">
        <f>IF(OR(H$31=料率入力欄!F9-料率入力欄!M14,H$32=料率入力欄!F9-料率入力欄!M14,H$33=料率入力欄!F9-料率入力欄!M14,H$34=料率入力欄!F9-料率入力欄!M14,H$35=料率入力欄!F9-料率入力欄!M14,H$36=料率入力欄!F9-料率入力欄!M14),料率入力欄!F9-料率入力欄!M14,0)</f>
        <v>0</v>
      </c>
      <c r="I38" s="116">
        <f>IF(OR(I$31=料率入力欄!F9-料率入力欄!M13,I$32=料率入力欄!F9-料率入力欄!M13,I$33=料率入力欄!F9-料率入力欄!M13,I$34=料率入力欄!F9-料率入力欄!M13,I$35=料率入力欄!F9-料率入力欄!M13,I$36=料率入力欄!F9-料率入力欄!M13),料率入力欄!F9-料率入力欄!M13,0)</f>
        <v>0</v>
      </c>
      <c r="J38" s="117">
        <f>IF(OR(J$31=料率入力欄!F9-料率入力欄!M12,J$32=料率入力欄!F9-料率入力欄!M12,J$33=料率入力欄!F9-料率入力欄!M12,J$34=料率入力欄!F9-料率入力欄!M12,J$35=料率入力欄!F9-料率入力欄!M12,J$36=料率入力欄!F9-料率入力欄!M12),料率入力欄!F9-料率入力欄!M12,0)</f>
        <v>0</v>
      </c>
    </row>
  </sheetData>
  <sheetProtection selectLockedCells="1"/>
  <phoneticPr fontId="1"/>
  <pageMargins left="0.7" right="0.7" top="0.75" bottom="0.75" header="0.3" footer="0.3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"/>
  <sheetViews>
    <sheetView view="pageBreakPreview" topLeftCell="A2" zoomScale="60" zoomScaleNormal="70" workbookViewId="0">
      <selection activeCell="B9" sqref="B9"/>
    </sheetView>
  </sheetViews>
  <sheetFormatPr defaultRowHeight="18.75" x14ac:dyDescent="0.4"/>
  <cols>
    <col min="1" max="1" width="11.375" bestFit="1" customWidth="1"/>
    <col min="2" max="2" width="14" bestFit="1" customWidth="1"/>
    <col min="3" max="3" width="16.75" bestFit="1" customWidth="1"/>
    <col min="4" max="4" width="18.375" customWidth="1"/>
    <col min="5" max="5" width="16.75" bestFit="1" customWidth="1"/>
    <col min="6" max="6" width="17" bestFit="1" customWidth="1"/>
    <col min="7" max="7" width="20.125" bestFit="1" customWidth="1"/>
    <col min="9" max="9" width="9" customWidth="1"/>
    <col min="10" max="10" width="14" bestFit="1" customWidth="1"/>
    <col min="11" max="11" width="23" bestFit="1" customWidth="1"/>
    <col min="12" max="12" width="16.75" bestFit="1" customWidth="1"/>
    <col min="13" max="13" width="19.375" bestFit="1" customWidth="1"/>
    <col min="16" max="16" width="12.375" customWidth="1"/>
  </cols>
  <sheetData>
    <row r="1" spans="1:18" ht="24" x14ac:dyDescent="0.5">
      <c r="A1" s="1"/>
      <c r="B1" s="1"/>
      <c r="C1" s="1"/>
      <c r="D1" s="1"/>
      <c r="E1" s="1"/>
      <c r="F1" s="1"/>
      <c r="G1" s="1"/>
      <c r="H1" s="1"/>
    </row>
    <row r="2" spans="1:18" s="2" customFormat="1" ht="39.950000000000003" customHeight="1" x14ac:dyDescent="0.4">
      <c r="H2" s="4"/>
      <c r="I2" s="8" t="s">
        <v>17</v>
      </c>
      <c r="J2" s="8" t="s">
        <v>18</v>
      </c>
      <c r="K2" s="8" t="s">
        <v>19</v>
      </c>
      <c r="L2" s="8" t="s">
        <v>10</v>
      </c>
      <c r="M2" s="8" t="s">
        <v>84</v>
      </c>
    </row>
    <row r="3" spans="1:18" ht="39.950000000000003" customHeight="1" x14ac:dyDescent="0.65">
      <c r="H3" s="1"/>
      <c r="I3" s="178" t="s">
        <v>13</v>
      </c>
      <c r="J3" s="5">
        <v>2</v>
      </c>
      <c r="K3" s="124">
        <f>ROUNDUP($C$6*0.2,0)</f>
        <v>6998</v>
      </c>
      <c r="L3" s="124">
        <f>ROUNDUP($E$6*0.8,0)</f>
        <v>13996</v>
      </c>
      <c r="M3" s="124">
        <f>ROUNDUP($F$6*0.2,0)</f>
        <v>6782</v>
      </c>
    </row>
    <row r="4" spans="1:18" ht="39.950000000000003" customHeight="1" x14ac:dyDescent="0.65">
      <c r="H4" s="1"/>
      <c r="I4" s="178"/>
      <c r="J4" s="5">
        <v>5</v>
      </c>
      <c r="K4" s="124">
        <f>ROUNDUP($C$6*0.5,0)</f>
        <v>17495</v>
      </c>
      <c r="L4" s="124">
        <f>ROUNDUP($E$6*0.5,0)</f>
        <v>8748</v>
      </c>
      <c r="M4" s="124">
        <f>ROUNDUP($F$6*0.5,0)</f>
        <v>16954</v>
      </c>
    </row>
    <row r="5" spans="1:18" ht="39.75" customHeight="1" x14ac:dyDescent="0.65">
      <c r="A5" s="9" t="s">
        <v>16</v>
      </c>
      <c r="B5" s="8" t="s">
        <v>8</v>
      </c>
      <c r="C5" s="8" t="s">
        <v>9</v>
      </c>
      <c r="D5" s="9" t="s">
        <v>109</v>
      </c>
      <c r="E5" s="8" t="s">
        <v>10</v>
      </c>
      <c r="F5" s="8" t="s">
        <v>11</v>
      </c>
      <c r="G5" s="8" t="s">
        <v>12</v>
      </c>
      <c r="H5" s="1"/>
      <c r="I5" s="178"/>
      <c r="J5" s="5">
        <v>7</v>
      </c>
      <c r="K5" s="124">
        <f>ROUNDUP($C$6*0.7,0)</f>
        <v>24493</v>
      </c>
      <c r="L5" s="124">
        <f>ROUNDUP($E$6*0.3,0)</f>
        <v>5249</v>
      </c>
      <c r="M5" s="124">
        <f>ROUNDUP($F$6*0.7,0)</f>
        <v>23736</v>
      </c>
    </row>
    <row r="6" spans="1:18" ht="33" x14ac:dyDescent="0.65">
      <c r="A6" s="8" t="s">
        <v>13</v>
      </c>
      <c r="B6" s="112">
        <v>9.5000000000000001E-2</v>
      </c>
      <c r="C6" s="113">
        <v>34990</v>
      </c>
      <c r="D6" s="6"/>
      <c r="E6" s="113">
        <f>ROUNDDOWN(C6/2,0)</f>
        <v>17495</v>
      </c>
      <c r="F6" s="113">
        <v>33908</v>
      </c>
      <c r="G6" s="113">
        <v>660000</v>
      </c>
      <c r="H6" s="1"/>
      <c r="I6" s="178" t="s">
        <v>14</v>
      </c>
      <c r="J6" s="5">
        <v>2</v>
      </c>
      <c r="K6" s="124">
        <f>ROUNDUP($C$7*0.2,0)</f>
        <v>2239</v>
      </c>
      <c r="L6" s="124">
        <f>ROUNDUP($E$7*0.8,0)</f>
        <v>4476</v>
      </c>
      <c r="M6" s="124">
        <f>ROUNDUP($F$7*0.2,0)</f>
        <v>2169</v>
      </c>
    </row>
    <row r="7" spans="1:18" ht="39.950000000000003" customHeight="1" x14ac:dyDescent="0.65">
      <c r="A7" s="8" t="s">
        <v>14</v>
      </c>
      <c r="B7" s="112">
        <v>3.0599999999999999E-2</v>
      </c>
      <c r="C7" s="113">
        <v>11191</v>
      </c>
      <c r="D7" s="6"/>
      <c r="E7" s="113">
        <f>ROUNDDOWN(C7/2,0)</f>
        <v>5595</v>
      </c>
      <c r="F7" s="113">
        <v>10845</v>
      </c>
      <c r="G7" s="113">
        <v>260000</v>
      </c>
      <c r="H7" s="1"/>
      <c r="I7" s="178"/>
      <c r="J7" s="5">
        <v>5</v>
      </c>
      <c r="K7" s="124">
        <f>ROUNDUP($C$7*0.5,0)</f>
        <v>5596</v>
      </c>
      <c r="L7" s="124">
        <f>ROUNDUP($E$7*0.5,0)</f>
        <v>2798</v>
      </c>
      <c r="M7" s="124">
        <f>ROUNDUP($F$7*0.5,0)</f>
        <v>5423</v>
      </c>
    </row>
    <row r="8" spans="1:18" ht="39.950000000000003" customHeight="1" x14ac:dyDescent="0.65">
      <c r="A8" s="8" t="s">
        <v>15</v>
      </c>
      <c r="B8" s="112">
        <v>2.5999999999999999E-2</v>
      </c>
      <c r="C8" s="113">
        <v>18682</v>
      </c>
      <c r="D8" s="6"/>
      <c r="E8" s="6"/>
      <c r="F8" s="113">
        <v>0</v>
      </c>
      <c r="G8" s="113">
        <v>170000</v>
      </c>
      <c r="H8" s="1"/>
      <c r="I8" s="178"/>
      <c r="J8" s="5">
        <v>7</v>
      </c>
      <c r="K8" s="124">
        <f>ROUNDUP($C$7*0.7,0)</f>
        <v>7834</v>
      </c>
      <c r="L8" s="124">
        <f>ROUNDUP($E$7*0.3,0)</f>
        <v>1679</v>
      </c>
      <c r="M8" s="124">
        <f>ROUNDUP($F$7*0.7,0)</f>
        <v>7592</v>
      </c>
    </row>
    <row r="9" spans="1:18" ht="39.950000000000003" customHeight="1" x14ac:dyDescent="0.65">
      <c r="A9" s="121" t="s">
        <v>103</v>
      </c>
      <c r="B9" s="112">
        <v>2.8E-3</v>
      </c>
      <c r="C9" s="113">
        <v>1775</v>
      </c>
      <c r="D9" s="113">
        <v>66</v>
      </c>
      <c r="E9" s="6"/>
      <c r="F9" s="113">
        <v>0</v>
      </c>
      <c r="G9" s="113">
        <v>30000</v>
      </c>
      <c r="H9" s="1"/>
      <c r="I9" s="178" t="s">
        <v>15</v>
      </c>
      <c r="J9" s="5">
        <v>2</v>
      </c>
      <c r="K9" s="124">
        <f>ROUNDUP($C$8*0.2,0)</f>
        <v>3737</v>
      </c>
      <c r="L9" s="7"/>
      <c r="M9" s="124">
        <v>0</v>
      </c>
    </row>
    <row r="10" spans="1:18" ht="39.950000000000003" customHeight="1" x14ac:dyDescent="0.65">
      <c r="H10" s="1"/>
      <c r="I10" s="178"/>
      <c r="J10" s="5">
        <v>5</v>
      </c>
      <c r="K10" s="124">
        <f>ROUNDUP($C$8*0.5,0)</f>
        <v>9341</v>
      </c>
      <c r="L10" s="7"/>
      <c r="M10" s="124">
        <v>0</v>
      </c>
    </row>
    <row r="11" spans="1:18" ht="39.950000000000003" customHeight="1" x14ac:dyDescent="0.65">
      <c r="G11" s="3"/>
      <c r="H11" s="1"/>
      <c r="I11" s="178"/>
      <c r="J11" s="5">
        <v>7</v>
      </c>
      <c r="K11" s="124">
        <f>ROUNDUP($C$8*0.7,0)</f>
        <v>13078</v>
      </c>
      <c r="L11" s="7"/>
      <c r="M11" s="124">
        <v>0</v>
      </c>
      <c r="N11" s="179" t="s">
        <v>110</v>
      </c>
      <c r="O11" s="180"/>
      <c r="P11" s="180"/>
      <c r="Q11" s="180"/>
      <c r="R11" s="180"/>
    </row>
    <row r="12" spans="1:18" ht="39.950000000000003" customHeight="1" x14ac:dyDescent="0.65">
      <c r="G12" s="3"/>
      <c r="H12" s="1"/>
      <c r="I12" s="178" t="s">
        <v>103</v>
      </c>
      <c r="J12" s="5">
        <v>2</v>
      </c>
      <c r="K12" s="124">
        <f>ROUNDUP($C$9*0.2,0)+ROUNDUP($D$9*0.2,0)</f>
        <v>369</v>
      </c>
      <c r="L12" s="7"/>
      <c r="M12" s="124">
        <v>0</v>
      </c>
      <c r="N12" s="178" t="s">
        <v>103</v>
      </c>
      <c r="O12" s="5">
        <v>2</v>
      </c>
      <c r="P12" s="124">
        <f>ROUNDUP($C$9*0.2,0)</f>
        <v>355</v>
      </c>
      <c r="Q12" s="7"/>
      <c r="R12" s="124">
        <v>0</v>
      </c>
    </row>
    <row r="13" spans="1:18" ht="39.950000000000003" customHeight="1" x14ac:dyDescent="0.65">
      <c r="G13" s="3"/>
      <c r="H13" s="1"/>
      <c r="I13" s="178"/>
      <c r="J13" s="5">
        <v>5</v>
      </c>
      <c r="K13" s="124">
        <f>ROUNDUP($C$9*0.5,0)+ROUNDUP($D$9*0.5,0)</f>
        <v>921</v>
      </c>
      <c r="L13" s="7"/>
      <c r="M13" s="124">
        <v>0</v>
      </c>
      <c r="N13" s="178"/>
      <c r="O13" s="5">
        <v>5</v>
      </c>
      <c r="P13" s="124">
        <f>ROUNDUP($C$9*0.5,0)</f>
        <v>888</v>
      </c>
      <c r="Q13" s="7"/>
      <c r="R13" s="124">
        <v>0</v>
      </c>
    </row>
    <row r="14" spans="1:18" s="1" customFormat="1" ht="39.950000000000003" customHeight="1" x14ac:dyDescent="0.65">
      <c r="A14" s="46"/>
      <c r="G14" s="45"/>
      <c r="I14" s="178"/>
      <c r="J14" s="5">
        <v>7</v>
      </c>
      <c r="K14" s="124">
        <f>ROUNDUP($C$9*0.7,0)+ROUNDUP($D$9*0.7,0)</f>
        <v>1290</v>
      </c>
      <c r="L14" s="7"/>
      <c r="M14" s="124">
        <v>0</v>
      </c>
      <c r="N14" s="178"/>
      <c r="O14" s="5">
        <v>7</v>
      </c>
      <c r="P14" s="124">
        <f>ROUNDUP($C$9*0.7,0)</f>
        <v>1243</v>
      </c>
      <c r="Q14" s="7"/>
      <c r="R14" s="124">
        <v>0</v>
      </c>
    </row>
    <row r="15" spans="1:18" s="1" customFormat="1" ht="18.75" customHeight="1" x14ac:dyDescent="0.5">
      <c r="A15" s="46"/>
      <c r="G15" s="45"/>
    </row>
    <row r="16" spans="1:18" s="1" customFormat="1" ht="18.75" customHeight="1" x14ac:dyDescent="0.5">
      <c r="A16" s="46"/>
      <c r="G16" s="45"/>
    </row>
    <row r="17" spans="1:1" s="1" customFormat="1" ht="18.75" customHeight="1" x14ac:dyDescent="0.5">
      <c r="A17" s="46"/>
    </row>
    <row r="18" spans="1:1" s="1" customFormat="1" ht="18.75" customHeight="1" x14ac:dyDescent="0.5">
      <c r="A18" s="46"/>
    </row>
    <row r="19" spans="1:1" s="1" customFormat="1" ht="18.75" customHeight="1" x14ac:dyDescent="0.5">
      <c r="A19" s="46"/>
    </row>
    <row r="20" spans="1:1" ht="18.75" customHeight="1" x14ac:dyDescent="0.4"/>
    <row r="21" spans="1:1" ht="18.75" customHeight="1" x14ac:dyDescent="0.4"/>
  </sheetData>
  <sheetProtection selectLockedCells="1"/>
  <mergeCells count="6">
    <mergeCell ref="I3:I5"/>
    <mergeCell ref="I6:I8"/>
    <mergeCell ref="I9:I11"/>
    <mergeCell ref="I12:I14"/>
    <mergeCell ref="N12:N14"/>
    <mergeCell ref="N11:R11"/>
  </mergeCells>
  <phoneticPr fontId="1"/>
  <pageMargins left="0.7" right="0.7" top="0.75" bottom="0.75" header="0.3" footer="0.3"/>
  <pageSetup paperSize="9" scale="59" orientation="landscape" r:id="rId1"/>
  <colBreaks count="1" manualBreakCount="1">
    <brk id="13" max="16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試算シート</vt:lpstr>
      <vt:lpstr>所得計算</vt:lpstr>
      <vt:lpstr>保険料計算</vt:lpstr>
      <vt:lpstr>料率入力欄</vt:lpstr>
      <vt:lpstr>試算シート!Print_Area</vt:lpstr>
      <vt:lpstr>所得計算!Print_Area</vt:lpstr>
      <vt:lpstr>保険料計算!Print_Area</vt:lpstr>
      <vt:lpstr>料率入力欄!Print_Area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2026-03-18T05:06:42Z</dcterms:modified>
</cp:coreProperties>
</file>