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youkinadmin\Desktop\"/>
    </mc:Choice>
  </mc:AlternateContent>
  <xr:revisionPtr revIDLastSave="0" documentId="13_ncr:1_{39746F94-D0B5-4AA2-847E-44ECB3536F79}" xr6:coauthVersionLast="43" xr6:coauthVersionMax="43" xr10:uidLastSave="{00000000-0000-0000-0000-000000000000}"/>
  <workbookProtection workbookAlgorithmName="SHA-512" workbookHashValue="t0UxAeFpWUe6JFMOSTs643Z7OqQNfOGdTbdkCzQ9mnlieqzETJcHEMAhE0pN0r64ah4crnHCokT3zYpv2Xy9rA==" workbookSaltValue="SzUvxloBPuukznb/1KvVdw==" workbookSpinCount="100000" lockStructure="1"/>
  <bookViews>
    <workbookView xWindow="-120" yWindow="-120" windowWidth="19440" windowHeight="15000" tabRatio="823" xr2:uid="{00000000-000D-0000-FFFF-FFFF00000000}"/>
  </bookViews>
  <sheets>
    <sheet name="令和2年4月分計算フォーム" sheetId="39" r:id="rId1"/>
    <sheet name="一般下水_4・5月" sheetId="36" state="hidden" r:id="rId2"/>
    <sheet name="一般上水旧_4・5月" sheetId="37" state="hidden" r:id="rId3"/>
    <sheet name="一般上水新_4・5月" sheetId="38" state="hidden" r:id="rId4"/>
    <sheet name="メーター料_4・5月" sheetId="43" state="hidden" r:id="rId5"/>
    <sheet name="設定_4・5月" sheetId="40" state="hidden" r:id="rId6"/>
  </sheets>
  <calcPr calcId="181029"/>
</workbook>
</file>

<file path=xl/calcChain.xml><?xml version="1.0" encoding="utf-8"?>
<calcChain xmlns="http://schemas.openxmlformats.org/spreadsheetml/2006/main">
  <c r="D2" i="39" l="1"/>
  <c r="C4" i="40" l="1"/>
  <c r="C3" i="40"/>
  <c r="D3" i="40" l="1"/>
  <c r="G5" i="39" l="1"/>
  <c r="D5" i="39"/>
  <c r="G4" i="39"/>
  <c r="D4" i="40"/>
  <c r="B4" i="37"/>
  <c r="E2" i="39" l="1"/>
  <c r="I3" i="40" s="1"/>
  <c r="K3" i="40"/>
  <c r="B4" i="43"/>
  <c r="E24" i="43"/>
  <c r="E23" i="43"/>
  <c r="E22" i="43"/>
  <c r="E21" i="43"/>
  <c r="E20" i="43"/>
  <c r="E19" i="43"/>
  <c r="E18" i="43"/>
  <c r="E17" i="43"/>
  <c r="E16" i="43"/>
  <c r="E15" i="43"/>
  <c r="E14" i="43"/>
  <c r="E8" i="43"/>
  <c r="S6" i="43"/>
  <c r="R6" i="43"/>
  <c r="Q6" i="43"/>
  <c r="P6" i="43"/>
  <c r="O6" i="43"/>
  <c r="N6" i="43"/>
  <c r="M6" i="43"/>
  <c r="L6" i="43"/>
  <c r="K6" i="43"/>
  <c r="J6" i="43"/>
  <c r="I6" i="43"/>
  <c r="I5" i="43" s="1"/>
  <c r="E6" i="43"/>
  <c r="B4" i="36"/>
  <c r="B5" i="38"/>
  <c r="B5" i="37"/>
  <c r="B5" i="36"/>
  <c r="B4" i="38"/>
  <c r="E5" i="38" s="1"/>
  <c r="F5" i="39"/>
  <c r="D4" i="39"/>
  <c r="F4" i="39" s="1"/>
  <c r="E8" i="38"/>
  <c r="S6" i="38"/>
  <c r="R6" i="38"/>
  <c r="Q6" i="38"/>
  <c r="Q5" i="38" s="1"/>
  <c r="Q7" i="38" s="1"/>
  <c r="Q8" i="38" s="1"/>
  <c r="Q9" i="38" s="1"/>
  <c r="P6" i="38"/>
  <c r="O6" i="38"/>
  <c r="N6" i="38"/>
  <c r="M6" i="38"/>
  <c r="L6" i="38"/>
  <c r="K6" i="38"/>
  <c r="J6" i="38"/>
  <c r="I6" i="38"/>
  <c r="E6" i="38"/>
  <c r="S5" i="38"/>
  <c r="S7" i="38" s="1"/>
  <c r="S8" i="38" s="1"/>
  <c r="S9" i="38" s="1"/>
  <c r="R5" i="38"/>
  <c r="R7" i="38" s="1"/>
  <c r="R8" i="38" s="1"/>
  <c r="R9" i="38" s="1"/>
  <c r="P5" i="38"/>
  <c r="P7" i="38" s="1"/>
  <c r="P8" i="38" s="1"/>
  <c r="P9" i="38" s="1"/>
  <c r="E24" i="37"/>
  <c r="E23" i="37"/>
  <c r="E22" i="37"/>
  <c r="E21" i="37"/>
  <c r="E20" i="37"/>
  <c r="E19" i="37"/>
  <c r="E18" i="37"/>
  <c r="E17" i="37"/>
  <c r="E16" i="37"/>
  <c r="E15" i="37"/>
  <c r="E5" i="37" s="1"/>
  <c r="E14" i="37"/>
  <c r="E8" i="37"/>
  <c r="S6" i="37"/>
  <c r="R6" i="37"/>
  <c r="Q6" i="37"/>
  <c r="P6" i="37"/>
  <c r="O6" i="37"/>
  <c r="N6" i="37"/>
  <c r="M6" i="37"/>
  <c r="L6" i="37"/>
  <c r="K6" i="37"/>
  <c r="J6" i="37"/>
  <c r="I6" i="37"/>
  <c r="E6" i="37"/>
  <c r="S5" i="37"/>
  <c r="S7" i="37" s="1"/>
  <c r="S8" i="37" s="1"/>
  <c r="S9" i="37" s="1"/>
  <c r="R5" i="37"/>
  <c r="R7" i="37" s="1"/>
  <c r="R8" i="37" s="1"/>
  <c r="R9" i="37" s="1"/>
  <c r="Q5" i="37"/>
  <c r="Q7" i="37" s="1"/>
  <c r="Q8" i="37" s="1"/>
  <c r="Q9" i="37" s="1"/>
  <c r="P5" i="37"/>
  <c r="P7" i="37" s="1"/>
  <c r="P8" i="37" s="1"/>
  <c r="P9" i="37" s="1"/>
  <c r="I5" i="37" l="1"/>
  <c r="I7" i="37" s="1"/>
  <c r="J5" i="37" s="1"/>
  <c r="E5" i="43"/>
  <c r="F3" i="39"/>
  <c r="I7" i="43"/>
  <c r="I8" i="43" s="1"/>
  <c r="I9" i="43" s="1"/>
  <c r="I5" i="38"/>
  <c r="I7" i="38" s="1"/>
  <c r="I8" i="38" s="1"/>
  <c r="I9" i="38" s="1"/>
  <c r="I8" i="37" l="1"/>
  <c r="I9" i="37" s="1"/>
  <c r="K11" i="40"/>
  <c r="I11" i="40" s="1"/>
  <c r="J5" i="43"/>
  <c r="J7" i="43" s="1"/>
  <c r="J8" i="43" s="1"/>
  <c r="J9" i="43" s="1"/>
  <c r="J5" i="38"/>
  <c r="J7" i="38" s="1"/>
  <c r="J8" i="38" s="1"/>
  <c r="J9" i="38" s="1"/>
  <c r="J7" i="37"/>
  <c r="J8" i="37" s="1"/>
  <c r="J9" i="37" s="1"/>
  <c r="S6" i="36"/>
  <c r="S5" i="36" s="1"/>
  <c r="R6" i="36"/>
  <c r="R5" i="36" s="1"/>
  <c r="Q6" i="36"/>
  <c r="Q5" i="36" s="1"/>
  <c r="P6" i="36"/>
  <c r="O6" i="36"/>
  <c r="N6" i="36"/>
  <c r="M6" i="36"/>
  <c r="L6" i="36"/>
  <c r="K6" i="36"/>
  <c r="J6" i="36"/>
  <c r="I6" i="36"/>
  <c r="E24" i="36"/>
  <c r="E23" i="36"/>
  <c r="E22" i="36"/>
  <c r="E21" i="36"/>
  <c r="E20" i="36"/>
  <c r="E19" i="36"/>
  <c r="E18" i="36"/>
  <c r="E17" i="36"/>
  <c r="E16" i="36"/>
  <c r="E15" i="36"/>
  <c r="E14" i="36"/>
  <c r="E8" i="36"/>
  <c r="E6" i="36"/>
  <c r="E5" i="36" l="1"/>
  <c r="K5" i="43"/>
  <c r="K5" i="38"/>
  <c r="K7" i="38" s="1"/>
  <c r="K8" i="38" s="1"/>
  <c r="K9" i="38" s="1"/>
  <c r="K5" i="37"/>
  <c r="I5" i="36"/>
  <c r="I7" i="36" s="1"/>
  <c r="I8" i="36" s="1"/>
  <c r="I9" i="36" s="1"/>
  <c r="K7" i="43" l="1"/>
  <c r="K8" i="43" s="1"/>
  <c r="K9" i="43" s="1"/>
  <c r="L5" i="38"/>
  <c r="L7" i="38" s="1"/>
  <c r="L8" i="38" s="1"/>
  <c r="L9" i="38" s="1"/>
  <c r="K7" i="37"/>
  <c r="K8" i="37" s="1"/>
  <c r="K9" i="37" s="1"/>
  <c r="J5" i="36"/>
  <c r="J7" i="36" s="1"/>
  <c r="J8" i="36" s="1"/>
  <c r="J9" i="36" s="1"/>
  <c r="L5" i="37" l="1"/>
  <c r="L7" i="37" s="1"/>
  <c r="L8" i="37" s="1"/>
  <c r="L9" i="37" s="1"/>
  <c r="L5" i="43"/>
  <c r="L7" i="43" s="1"/>
  <c r="M5" i="38"/>
  <c r="K5" i="36"/>
  <c r="K7" i="36" s="1"/>
  <c r="K8" i="36" s="1"/>
  <c r="K9" i="36" s="1"/>
  <c r="L8" i="43" l="1"/>
  <c r="L9" i="43" s="1"/>
  <c r="M5" i="43"/>
  <c r="M7" i="43" s="1"/>
  <c r="M8" i="43" s="1"/>
  <c r="M9" i="43" s="1"/>
  <c r="M7" i="38"/>
  <c r="M8" i="38" s="1"/>
  <c r="M9" i="38" s="1"/>
  <c r="M5" i="37"/>
  <c r="L5" i="36"/>
  <c r="N5" i="43" l="1"/>
  <c r="N7" i="43" s="1"/>
  <c r="N8" i="43" s="1"/>
  <c r="N9" i="43" s="1"/>
  <c r="N5" i="38"/>
  <c r="M7" i="37"/>
  <c r="M8" i="37" s="1"/>
  <c r="M9" i="37" s="1"/>
  <c r="L7" i="36"/>
  <c r="L8" i="36" s="1"/>
  <c r="L9" i="36" s="1"/>
  <c r="O5" i="43" l="1"/>
  <c r="N5" i="37"/>
  <c r="N7" i="37" s="1"/>
  <c r="N8" i="37" s="1"/>
  <c r="N9" i="37" s="1"/>
  <c r="N7" i="38"/>
  <c r="N8" i="38" s="1"/>
  <c r="N9" i="38" s="1"/>
  <c r="M5" i="36"/>
  <c r="M7" i="36" s="1"/>
  <c r="O7" i="43" l="1"/>
  <c r="O8" i="43" s="1"/>
  <c r="O9" i="43" s="1"/>
  <c r="O5" i="38"/>
  <c r="O7" i="38" s="1"/>
  <c r="O8" i="38" s="1"/>
  <c r="O9" i="38" s="1"/>
  <c r="E4" i="38" s="1"/>
  <c r="K8" i="40" s="1"/>
  <c r="O5" i="37"/>
  <c r="O7" i="37" s="1"/>
  <c r="O8" i="37" s="1"/>
  <c r="O9" i="37" s="1"/>
  <c r="E4" i="37" s="1"/>
  <c r="J8" i="40" s="1"/>
  <c r="M8" i="36"/>
  <c r="M9" i="36" s="1"/>
  <c r="N5" i="36"/>
  <c r="N7" i="36" s="1"/>
  <c r="N8" i="36" s="1"/>
  <c r="N9" i="36" s="1"/>
  <c r="I8" i="40" l="1"/>
  <c r="E7" i="37"/>
  <c r="E7" i="38"/>
  <c r="P5" i="43"/>
  <c r="P7" i="43" s="1"/>
  <c r="P8" i="43" s="1"/>
  <c r="P9" i="43" s="1"/>
  <c r="E4" i="43" s="1"/>
  <c r="E7" i="43" s="1"/>
  <c r="E11" i="40" s="1"/>
  <c r="O5" i="36"/>
  <c r="E9" i="38" l="1"/>
  <c r="G8" i="40"/>
  <c r="E9" i="43"/>
  <c r="E9" i="37"/>
  <c r="E8" i="40"/>
  <c r="Q5" i="43"/>
  <c r="O7" i="36"/>
  <c r="O8" i="36" s="1"/>
  <c r="O9" i="36" s="1"/>
  <c r="C10" i="39" l="1"/>
  <c r="Q7" i="43"/>
  <c r="Q8" i="43" s="1"/>
  <c r="Q9" i="43" s="1"/>
  <c r="P5" i="36"/>
  <c r="R5" i="43" l="1"/>
  <c r="R7" i="43" s="1"/>
  <c r="R8" i="43" s="1"/>
  <c r="R9" i="43" s="1"/>
  <c r="P7" i="36"/>
  <c r="S5" i="43" l="1"/>
  <c r="S7" i="43" s="1"/>
  <c r="S8" i="43" s="1"/>
  <c r="S9" i="43" s="1"/>
  <c r="P8" i="36"/>
  <c r="P9" i="36" s="1"/>
  <c r="E4" i="36" s="1"/>
  <c r="E7" i="36" s="1"/>
  <c r="Q7" i="36"/>
  <c r="Q8" i="36" s="1"/>
  <c r="Q9" i="36" s="1"/>
  <c r="G14" i="40" l="1"/>
  <c r="E14" i="40"/>
  <c r="C11" i="39" s="1"/>
  <c r="C12" i="39" s="1"/>
  <c r="I14" i="40"/>
  <c r="E9" i="36"/>
  <c r="R7" i="36" l="1"/>
  <c r="R8" i="36" s="1"/>
  <c r="R9" i="36" s="1"/>
  <c r="S7" i="36" l="1"/>
  <c r="S8" i="36" s="1"/>
  <c r="S9" i="3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水道部料金課</author>
  </authors>
  <commentList>
    <comment ref="C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ご使用されているメーター口径を選択してください。メーター口径は検針時に配付しています「使用水量・料金等のお知らせ」等に記載されています。
</t>
        </r>
      </text>
    </comment>
    <comment ref="C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前回検針日を選択してください。
</t>
        </r>
      </text>
    </comment>
    <comment ref="C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今回検針日を選択してください。
</t>
        </r>
      </text>
    </comment>
    <comment ref="C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ご使用水量を入力してください。
</t>
        </r>
      </text>
    </comment>
    <comment ref="C7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下水道料金の有無を選択してください。
</t>
        </r>
      </text>
    </comment>
  </commentList>
</comments>
</file>

<file path=xl/sharedStrings.xml><?xml version="1.0" encoding="utf-8"?>
<sst xmlns="http://schemas.openxmlformats.org/spreadsheetml/2006/main" count="236" uniqueCount="79">
  <si>
    <t>従量料金</t>
    <rPh sb="0" eb="2">
      <t>ジュウリョウ</t>
    </rPh>
    <rPh sb="2" eb="4">
      <t>リョウキン</t>
    </rPh>
    <phoneticPr fontId="1"/>
  </si>
  <si>
    <t>口径料金</t>
    <rPh sb="0" eb="2">
      <t>コウケイ</t>
    </rPh>
    <rPh sb="2" eb="4">
      <t>リョウキン</t>
    </rPh>
    <phoneticPr fontId="1"/>
  </si>
  <si>
    <t>税率</t>
    <rPh sb="0" eb="2">
      <t>ゼイリツ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</si>
  <si>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</si>
  <si>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</si>
  <si>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口割</t>
    <rPh sb="0" eb="1">
      <t>クチ</t>
    </rPh>
    <rPh sb="1" eb="2">
      <t>ワリ</t>
    </rPh>
    <phoneticPr fontId="1"/>
  </si>
  <si>
    <t>口径</t>
    <rPh sb="0" eb="2">
      <t>コウケイ</t>
    </rPh>
    <phoneticPr fontId="1"/>
  </si>
  <si>
    <t>水量</t>
    <rPh sb="0" eb="2">
      <t>スイリョウ</t>
    </rPh>
    <phoneticPr fontId="1"/>
  </si>
  <si>
    <t>単価/2ヶ月</t>
    <rPh sb="0" eb="2">
      <t>タンカ</t>
    </rPh>
    <rPh sb="5" eb="6">
      <t>ゲツ</t>
    </rPh>
    <phoneticPr fontId="1"/>
  </si>
  <si>
    <t>単価/1ヶ月</t>
    <rPh sb="0" eb="2">
      <t>タンカ</t>
    </rPh>
    <rPh sb="5" eb="6">
      <t>ゲツ</t>
    </rPh>
    <phoneticPr fontId="1"/>
  </si>
  <si>
    <t>段階</t>
    <rPh sb="0" eb="2">
      <t>ダンカイ</t>
    </rPh>
    <phoneticPr fontId="1"/>
  </si>
  <si>
    <t>水量範囲</t>
    <rPh sb="0" eb="2">
      <t>スイリョウ</t>
    </rPh>
    <rPh sb="2" eb="4">
      <t>ハンイ</t>
    </rPh>
    <phoneticPr fontId="1"/>
  </si>
  <si>
    <t>段階水量</t>
    <rPh sb="0" eb="2">
      <t>ダンカイ</t>
    </rPh>
    <rPh sb="2" eb="4">
      <t>スイリョウ</t>
    </rPh>
    <phoneticPr fontId="1"/>
  </si>
  <si>
    <t>段階単価</t>
    <rPh sb="0" eb="2">
      <t>ダンカイ</t>
    </rPh>
    <rPh sb="2" eb="4">
      <t>タンカ</t>
    </rPh>
    <phoneticPr fontId="1"/>
  </si>
  <si>
    <t>口座割引</t>
    <rPh sb="0" eb="2">
      <t>コウザ</t>
    </rPh>
    <rPh sb="2" eb="4">
      <t>ワリビキ</t>
    </rPh>
    <phoneticPr fontId="1"/>
  </si>
  <si>
    <t>使用戸数</t>
    <rPh sb="0" eb="2">
      <t>シヨウ</t>
    </rPh>
    <rPh sb="2" eb="4">
      <t>コスウ</t>
    </rPh>
    <phoneticPr fontId="1"/>
  </si>
  <si>
    <t>段階小計</t>
    <rPh sb="0" eb="2">
      <t>ダンカイ</t>
    </rPh>
    <rPh sb="2" eb="4">
      <t>ショウケイ</t>
    </rPh>
    <phoneticPr fontId="1"/>
  </si>
  <si>
    <t>第1段階</t>
    <rPh sb="0" eb="1">
      <t>ダイ</t>
    </rPh>
    <rPh sb="2" eb="4">
      <t>ダンカイ</t>
    </rPh>
    <phoneticPr fontId="1"/>
  </si>
  <si>
    <t>第2段階</t>
    <rPh sb="0" eb="1">
      <t>ダイ</t>
    </rPh>
    <rPh sb="2" eb="4">
      <t>ダンカイ</t>
    </rPh>
    <phoneticPr fontId="1"/>
  </si>
  <si>
    <t>第3段階</t>
    <rPh sb="0" eb="1">
      <t>ダイ</t>
    </rPh>
    <rPh sb="2" eb="4">
      <t>ダンカイ</t>
    </rPh>
    <phoneticPr fontId="1"/>
  </si>
  <si>
    <t>第4段階</t>
    <rPh sb="0" eb="1">
      <t>ダイ</t>
    </rPh>
    <rPh sb="2" eb="4">
      <t>ダンカイ</t>
    </rPh>
    <phoneticPr fontId="1"/>
  </si>
  <si>
    <t>第5段階</t>
    <rPh sb="0" eb="1">
      <t>ダイ</t>
    </rPh>
    <rPh sb="2" eb="4">
      <t>ダンカイ</t>
    </rPh>
    <phoneticPr fontId="1"/>
  </si>
  <si>
    <t>第6段階</t>
    <rPh sb="0" eb="1">
      <t>ダイ</t>
    </rPh>
    <rPh sb="2" eb="4">
      <t>ダンカイ</t>
    </rPh>
    <phoneticPr fontId="1"/>
  </si>
  <si>
    <t>第7段階</t>
    <rPh sb="0" eb="1">
      <t>ダイ</t>
    </rPh>
    <rPh sb="2" eb="4">
      <t>ダンカイ</t>
    </rPh>
    <phoneticPr fontId="1"/>
  </si>
  <si>
    <t>第8段階</t>
    <rPh sb="0" eb="1">
      <t>ダイ</t>
    </rPh>
    <rPh sb="2" eb="4">
      <t>ダンカイ</t>
    </rPh>
    <phoneticPr fontId="1"/>
  </si>
  <si>
    <t>最大水量</t>
    <rPh sb="0" eb="2">
      <t>サイダイ</t>
    </rPh>
    <rPh sb="2" eb="4">
      <t>スイリョウ</t>
    </rPh>
    <phoneticPr fontId="1"/>
  </si>
  <si>
    <t>段階別最大水量/月</t>
    <rPh sb="0" eb="2">
      <t>ダンカイ</t>
    </rPh>
    <rPh sb="2" eb="3">
      <t>ベツ</t>
    </rPh>
    <rPh sb="3" eb="5">
      <t>サイダイ</t>
    </rPh>
    <rPh sb="5" eb="7">
      <t>スイリョウ</t>
    </rPh>
    <rPh sb="8" eb="9">
      <t>ツキ</t>
    </rPh>
    <phoneticPr fontId="1"/>
  </si>
  <si>
    <t>計算結果</t>
    <rPh sb="0" eb="2">
      <t>ケイサン</t>
    </rPh>
    <rPh sb="2" eb="4">
      <t>ケッカ</t>
    </rPh>
    <phoneticPr fontId="1"/>
  </si>
  <si>
    <t>入力フォーム</t>
    <rPh sb="0" eb="2">
      <t>ニュウリョク</t>
    </rPh>
    <phoneticPr fontId="1"/>
  </si>
  <si>
    <t>水量推移</t>
    <rPh sb="0" eb="2">
      <t>スイリョウ</t>
    </rPh>
    <rPh sb="2" eb="4">
      <t>スイイ</t>
    </rPh>
    <phoneticPr fontId="1"/>
  </si>
  <si>
    <t>計算フォーム</t>
    <rPh sb="0" eb="2">
      <t>ケイサン</t>
    </rPh>
    <phoneticPr fontId="1"/>
  </si>
  <si>
    <t>第9段階</t>
    <rPh sb="0" eb="1">
      <t>ダイ</t>
    </rPh>
    <rPh sb="2" eb="4">
      <t>ダンカイ</t>
    </rPh>
    <phoneticPr fontId="1"/>
  </si>
  <si>
    <t>第10段階</t>
    <rPh sb="0" eb="1">
      <t>ダイ</t>
    </rPh>
    <rPh sb="3" eb="5">
      <t>ダンカイ</t>
    </rPh>
    <phoneticPr fontId="1"/>
  </si>
  <si>
    <t>第11段階</t>
    <rPh sb="0" eb="1">
      <t>ダイ</t>
    </rPh>
    <rPh sb="3" eb="5">
      <t>ダンカイ</t>
    </rPh>
    <phoneticPr fontId="1"/>
  </si>
  <si>
    <t>段階別単価</t>
    <rPh sb="0" eb="2">
      <t>ダンカイ</t>
    </rPh>
    <rPh sb="2" eb="3">
      <t>ベツ</t>
    </rPh>
    <rPh sb="3" eb="5">
      <t>タンカ</t>
    </rPh>
    <phoneticPr fontId="1"/>
  </si>
  <si>
    <t>口径別単価</t>
    <rPh sb="0" eb="2">
      <t>コウケイ</t>
    </rPh>
    <rPh sb="2" eb="3">
      <t>ベツ</t>
    </rPh>
    <rPh sb="3" eb="5">
      <t>タンカ</t>
    </rPh>
    <phoneticPr fontId="1"/>
  </si>
  <si>
    <t>-</t>
    <phoneticPr fontId="1"/>
  </si>
  <si>
    <t>-</t>
    <phoneticPr fontId="1"/>
  </si>
  <si>
    <t>基本</t>
    <rPh sb="0" eb="2">
      <t>キホン</t>
    </rPh>
    <phoneticPr fontId="1"/>
  </si>
  <si>
    <t>A・B用途計算シート_下水</t>
    <rPh sb="3" eb="5">
      <t>ヨウト</t>
    </rPh>
    <rPh sb="5" eb="7">
      <t>ケイサン</t>
    </rPh>
    <rPh sb="11" eb="13">
      <t>ゲスイ</t>
    </rPh>
    <phoneticPr fontId="1"/>
  </si>
  <si>
    <t>A・B用途計算シート_上水新</t>
    <rPh sb="3" eb="5">
      <t>ヨウト</t>
    </rPh>
    <rPh sb="5" eb="7">
      <t>ケイサン</t>
    </rPh>
    <rPh sb="11" eb="13">
      <t>ジョウスイ</t>
    </rPh>
    <rPh sb="13" eb="14">
      <t>シン</t>
    </rPh>
    <phoneticPr fontId="1"/>
  </si>
  <si>
    <t>A・B用途計算シート_上水旧</t>
    <rPh sb="3" eb="5">
      <t>ヨウト</t>
    </rPh>
    <rPh sb="5" eb="7">
      <t>ケイサン</t>
    </rPh>
    <rPh sb="11" eb="13">
      <t>ジョウスイ</t>
    </rPh>
    <rPh sb="13" eb="14">
      <t>キュウ</t>
    </rPh>
    <phoneticPr fontId="1"/>
  </si>
  <si>
    <t>前回検針日</t>
    <rPh sb="0" eb="2">
      <t>ゼンカイ</t>
    </rPh>
    <rPh sb="2" eb="4">
      <t>ケンシン</t>
    </rPh>
    <rPh sb="4" eb="5">
      <t>ヒ</t>
    </rPh>
    <phoneticPr fontId="1"/>
  </si>
  <si>
    <t>今回検針日</t>
    <rPh sb="0" eb="2">
      <t>コンカイ</t>
    </rPh>
    <rPh sb="2" eb="4">
      <t>ケンシン</t>
    </rPh>
    <rPh sb="4" eb="5">
      <t>ヒ</t>
    </rPh>
    <phoneticPr fontId="1"/>
  </si>
  <si>
    <t>調定年月</t>
    <rPh sb="0" eb="2">
      <t>チョウテイ</t>
    </rPh>
    <rPh sb="2" eb="4">
      <t>ネンゲツ</t>
    </rPh>
    <phoneticPr fontId="1"/>
  </si>
  <si>
    <t>下水計算</t>
    <rPh sb="0" eb="2">
      <t>ゲスイ</t>
    </rPh>
    <rPh sb="2" eb="4">
      <t>ケイサン</t>
    </rPh>
    <phoneticPr fontId="1"/>
  </si>
  <si>
    <t>メーター料</t>
    <rPh sb="4" eb="5">
      <t>リョウ</t>
    </rPh>
    <phoneticPr fontId="1"/>
  </si>
  <si>
    <t>y/n</t>
    <phoneticPr fontId="1"/>
  </si>
  <si>
    <t>改定日</t>
    <rPh sb="0" eb="2">
      <t>カイテイ</t>
    </rPh>
    <rPh sb="2" eb="3">
      <t>ビ</t>
    </rPh>
    <phoneticPr fontId="1"/>
  </si>
  <si>
    <t>全使用日数</t>
    <rPh sb="0" eb="1">
      <t>ゼン</t>
    </rPh>
    <rPh sb="1" eb="3">
      <t>シヨウ</t>
    </rPh>
    <rPh sb="3" eb="5">
      <t>ニッスウ</t>
    </rPh>
    <phoneticPr fontId="1"/>
  </si>
  <si>
    <t>旧料金使用日数</t>
    <rPh sb="0" eb="3">
      <t>キュウリョウキン</t>
    </rPh>
    <rPh sb="3" eb="5">
      <t>シヨウ</t>
    </rPh>
    <rPh sb="5" eb="7">
      <t>ニッスウ</t>
    </rPh>
    <phoneticPr fontId="1"/>
  </si>
  <si>
    <t>新料金使用日数</t>
    <rPh sb="0" eb="1">
      <t>シン</t>
    </rPh>
    <rPh sb="1" eb="3">
      <t>リョウキン</t>
    </rPh>
    <rPh sb="3" eb="5">
      <t>シヨウ</t>
    </rPh>
    <rPh sb="5" eb="7">
      <t>ニッスウ</t>
    </rPh>
    <phoneticPr fontId="1"/>
  </si>
  <si>
    <t>使用水量</t>
    <rPh sb="0" eb="2">
      <t>シヨウ</t>
    </rPh>
    <rPh sb="2" eb="4">
      <t>スイリョウ</t>
    </rPh>
    <phoneticPr fontId="1"/>
  </si>
  <si>
    <t>水道料金</t>
    <rPh sb="0" eb="2">
      <t>スイドウ</t>
    </rPh>
    <rPh sb="2" eb="4">
      <t>リョウキン</t>
    </rPh>
    <phoneticPr fontId="1"/>
  </si>
  <si>
    <t>下水道使用料</t>
    <rPh sb="0" eb="3">
      <t>ゲスイドウ</t>
    </rPh>
    <rPh sb="3" eb="6">
      <t>シヨウリョウ</t>
    </rPh>
    <phoneticPr fontId="1"/>
  </si>
  <si>
    <t>-</t>
    <phoneticPr fontId="1"/>
  </si>
  <si>
    <t>-</t>
    <phoneticPr fontId="1"/>
  </si>
  <si>
    <t>下水道料金</t>
    <rPh sb="0" eb="2">
      <t>ゲスイ</t>
    </rPh>
    <rPh sb="2" eb="3">
      <t>ミチ</t>
    </rPh>
    <rPh sb="3" eb="5">
      <t>リョウキン</t>
    </rPh>
    <phoneticPr fontId="1"/>
  </si>
  <si>
    <t>旧</t>
    <rPh sb="0" eb="1">
      <t>キュウ</t>
    </rPh>
    <phoneticPr fontId="1"/>
  </si>
  <si>
    <t>計算コード</t>
    <rPh sb="0" eb="2">
      <t>ケイサン</t>
    </rPh>
    <phoneticPr fontId="1"/>
  </si>
  <si>
    <t>新</t>
    <rPh sb="0" eb="1">
      <t>シン</t>
    </rPh>
    <phoneticPr fontId="1"/>
  </si>
  <si>
    <t>按分</t>
    <rPh sb="0" eb="2">
      <t>アンブン</t>
    </rPh>
    <phoneticPr fontId="1"/>
  </si>
  <si>
    <t>メーター計算</t>
    <rPh sb="4" eb="6">
      <t>ケイサン</t>
    </rPh>
    <phoneticPr fontId="1"/>
  </si>
  <si>
    <t>口径(㎜)</t>
    <rPh sb="0" eb="2">
      <t>コウケイ</t>
    </rPh>
    <phoneticPr fontId="1"/>
  </si>
  <si>
    <t>前回検針日</t>
    <rPh sb="0" eb="2">
      <t>ゼンカイ</t>
    </rPh>
    <rPh sb="2" eb="4">
      <t>ケンシン</t>
    </rPh>
    <rPh sb="4" eb="5">
      <t>ヒ</t>
    </rPh>
    <phoneticPr fontId="1"/>
  </si>
  <si>
    <t>今回検針日</t>
    <rPh sb="0" eb="2">
      <t>コンカイ</t>
    </rPh>
    <rPh sb="2" eb="4">
      <t>ケンシン</t>
    </rPh>
    <rPh sb="4" eb="5">
      <t>ヒ</t>
    </rPh>
    <phoneticPr fontId="1"/>
  </si>
  <si>
    <t>計算結果</t>
    <phoneticPr fontId="1"/>
  </si>
  <si>
    <t>検針年月</t>
    <rPh sb="0" eb="2">
      <t>ケンシン</t>
    </rPh>
    <rPh sb="2" eb="4">
      <t>ネンゲツ</t>
    </rPh>
    <phoneticPr fontId="1"/>
  </si>
  <si>
    <t>有</t>
    <rPh sb="0" eb="1">
      <t>アリ</t>
    </rPh>
    <phoneticPr fontId="1"/>
  </si>
  <si>
    <t>無</t>
  </si>
  <si>
    <t>無</t>
    <rPh sb="0" eb="1">
      <t>ナ</t>
    </rPh>
    <phoneticPr fontId="1"/>
  </si>
  <si>
    <t>令和2年4月</t>
    <rPh sb="0" eb="2">
      <t>レイワ</t>
    </rPh>
    <rPh sb="3" eb="4">
      <t>ネン</t>
    </rPh>
    <rPh sb="5" eb="6">
      <t>ツキ</t>
    </rPh>
    <phoneticPr fontId="1"/>
  </si>
  <si>
    <t>令和2年5月</t>
    <rPh sb="0" eb="2">
      <t>レイワ</t>
    </rPh>
    <rPh sb="3" eb="4">
      <t>ネン</t>
    </rPh>
    <rPh sb="5" eb="6">
      <t>ツキ</t>
    </rPh>
    <phoneticPr fontId="1"/>
  </si>
  <si>
    <t>計算結果はいずれも、消費税相当額（10％）が含まれています。</t>
    <phoneticPr fontId="1"/>
  </si>
  <si>
    <t>・このシートは2か月あたりの水道料金を計算するものです。</t>
    <rPh sb="9" eb="10">
      <t>ゲツ</t>
    </rPh>
    <rPh sb="14" eb="16">
      <t>スイドウ</t>
    </rPh>
    <rPh sb="16" eb="18">
      <t>リョウキン</t>
    </rPh>
    <rPh sb="19" eb="21">
      <t>ケイサン</t>
    </rPh>
    <phoneticPr fontId="1"/>
  </si>
  <si>
    <t>使用水量の欄には2か月分の水量を入力してください。</t>
    <rPh sb="0" eb="2">
      <t>シヨウ</t>
    </rPh>
    <rPh sb="2" eb="4">
      <t>スイリョウ</t>
    </rPh>
    <rPh sb="5" eb="6">
      <t>ラン</t>
    </rPh>
    <rPh sb="10" eb="11">
      <t>ゲツ</t>
    </rPh>
    <rPh sb="11" eb="12">
      <t>ブン</t>
    </rPh>
    <rPh sb="13" eb="15">
      <t>スイリョウ</t>
    </rPh>
    <rPh sb="16" eb="18">
      <t>ニュウリョク</t>
    </rPh>
    <phoneticPr fontId="1"/>
  </si>
  <si>
    <t>・お支払方法が口座振替の場合、初回のご請求は合計から</t>
    <rPh sb="2" eb="4">
      <t>シハラ</t>
    </rPh>
    <rPh sb="4" eb="6">
      <t>ホウホウ</t>
    </rPh>
    <rPh sb="7" eb="9">
      <t>コウザ</t>
    </rPh>
    <rPh sb="9" eb="11">
      <t>フリカエ</t>
    </rPh>
    <rPh sb="12" eb="14">
      <t>バアイ</t>
    </rPh>
    <rPh sb="15" eb="17">
      <t>ショカイ</t>
    </rPh>
    <rPh sb="19" eb="21">
      <t>セイキュウ</t>
    </rPh>
    <rPh sb="22" eb="24">
      <t>ゴウケイ</t>
    </rPh>
    <phoneticPr fontId="1"/>
  </si>
  <si>
    <t>口座割引額（100円）を引いた額となります。</t>
    <rPh sb="0" eb="2">
      <t>コウザ</t>
    </rPh>
    <rPh sb="2" eb="4">
      <t>ワリビキ</t>
    </rPh>
    <rPh sb="4" eb="5">
      <t>ガク</t>
    </rPh>
    <rPh sb="9" eb="10">
      <t>エン</t>
    </rPh>
    <rPh sb="12" eb="13">
      <t>ヒ</t>
    </rPh>
    <rPh sb="15" eb="16">
      <t>ガク</t>
    </rPh>
    <phoneticPr fontId="1"/>
  </si>
  <si>
    <t>令和2年4月分計算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</si>
</sst>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0_ "/>
    <numFmt numFmtId="178" formatCode="&quot;(&quot;[$-411]ggge&quot;年&quot;m&quot;月&quot;d&quot;日&quot;&quot;)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BE6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EF8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76" fontId="0" fillId="4" borderId="5" xfId="0" applyNumberFormat="1" applyFill="1" applyBorder="1" applyProtection="1">
      <alignment vertical="center"/>
      <protection locked="0"/>
    </xf>
    <xf numFmtId="176" fontId="0" fillId="6" borderId="5" xfId="0" applyNumberFormat="1" applyFill="1" applyBorder="1" applyProtection="1">
      <alignment vertical="center"/>
      <protection locked="0"/>
    </xf>
    <xf numFmtId="176" fontId="0" fillId="4" borderId="1" xfId="0" applyNumberFormat="1" applyFill="1" applyBorder="1" applyProtection="1">
      <alignment vertical="center"/>
      <protection locked="0"/>
    </xf>
    <xf numFmtId="176" fontId="0" fillId="6" borderId="1" xfId="0" applyNumberFormat="1" applyFill="1" applyBorder="1" applyProtection="1">
      <alignment vertical="center"/>
      <protection locked="0"/>
    </xf>
    <xf numFmtId="176" fontId="0" fillId="2" borderId="1" xfId="0" applyNumberFormat="1" applyFill="1" applyBorder="1" applyProtection="1">
      <alignment vertical="center"/>
      <protection locked="0"/>
    </xf>
    <xf numFmtId="176" fontId="0" fillId="4" borderId="8" xfId="0" applyNumberFormat="1" applyFill="1" applyBorder="1" applyProtection="1">
      <alignment vertical="center"/>
      <protection locked="0"/>
    </xf>
    <xf numFmtId="176" fontId="0" fillId="6" borderId="8" xfId="0" applyNumberFormat="1" applyFill="1" applyBorder="1" applyProtection="1">
      <alignment vertical="center"/>
      <protection locked="0"/>
    </xf>
    <xf numFmtId="176" fontId="0" fillId="3" borderId="1" xfId="0" applyNumberFormat="1" applyFill="1" applyBorder="1" applyProtection="1">
      <alignment vertical="center"/>
      <protection locked="0"/>
    </xf>
    <xf numFmtId="176" fontId="0" fillId="3" borderId="8" xfId="0" applyNumberFormat="1" applyFill="1" applyBorder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7" fontId="0" fillId="0" borderId="1" xfId="0" applyNumberFormat="1" applyBorder="1" applyProtection="1">
      <alignment vertical="center"/>
    </xf>
    <xf numFmtId="176" fontId="0" fillId="0" borderId="1" xfId="0" applyNumberFormat="1" applyBorder="1" applyProtection="1">
      <alignment vertical="center"/>
    </xf>
    <xf numFmtId="0" fontId="0" fillId="0" borderId="4" xfId="0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176" fontId="0" fillId="2" borderId="11" xfId="0" applyNumberForma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176" fontId="0" fillId="2" borderId="10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</xf>
    <xf numFmtId="176" fontId="0" fillId="7" borderId="7" xfId="0" applyNumberFormat="1" applyFill="1" applyBorder="1" applyProtection="1">
      <alignment vertical="center"/>
      <protection locked="0"/>
    </xf>
    <xf numFmtId="176" fontId="0" fillId="7" borderId="9" xfId="0" applyNumberFormat="1" applyFill="1" applyBorder="1" applyProtection="1">
      <alignment vertical="center"/>
      <protection locked="0"/>
    </xf>
    <xf numFmtId="176" fontId="0" fillId="5" borderId="5" xfId="0" applyNumberFormat="1" applyFill="1" applyBorder="1" applyProtection="1">
      <alignment vertical="center"/>
      <protection locked="0"/>
    </xf>
    <xf numFmtId="176" fontId="0" fillId="5" borderId="1" xfId="0" applyNumberFormat="1" applyFill="1" applyBorder="1" applyProtection="1">
      <alignment vertical="center"/>
      <protection locked="0"/>
    </xf>
    <xf numFmtId="176" fontId="0" fillId="5" borderId="8" xfId="0" applyNumberFormat="1" applyFill="1" applyBorder="1" applyProtection="1">
      <alignment vertical="center"/>
      <protection locked="0"/>
    </xf>
    <xf numFmtId="176" fontId="0" fillId="4" borderId="1" xfId="0" applyNumberFormat="1" applyFill="1" applyBorder="1">
      <alignment vertical="center"/>
    </xf>
    <xf numFmtId="176" fontId="0" fillId="2" borderId="12" xfId="0" applyNumberFormat="1" applyFill="1" applyBorder="1" applyAlignment="1" applyProtection="1">
      <alignment horizontal="center" vertical="center"/>
      <protection locked="0"/>
    </xf>
    <xf numFmtId="176" fontId="0" fillId="10" borderId="1" xfId="0" applyNumberFormat="1" applyFill="1" applyBorder="1" applyProtection="1">
      <alignment vertical="center"/>
      <protection locked="0"/>
    </xf>
    <xf numFmtId="0" fontId="0" fillId="8" borderId="4" xfId="0" applyFill="1" applyBorder="1" applyAlignment="1">
      <alignment horizontal="center" vertical="center" shrinkToFit="1"/>
    </xf>
    <xf numFmtId="176" fontId="0" fillId="0" borderId="16" xfId="0" applyNumberFormat="1" applyFill="1" applyBorder="1" applyProtection="1">
      <alignment vertical="center"/>
      <protection locked="0"/>
    </xf>
    <xf numFmtId="176" fontId="0" fillId="11" borderId="1" xfId="0" applyNumberFormat="1" applyFill="1" applyBorder="1" applyProtection="1">
      <alignment vertical="center"/>
      <protection locked="0"/>
    </xf>
    <xf numFmtId="0" fontId="0" fillId="4" borderId="13" xfId="0" applyFill="1" applyBorder="1" applyAlignment="1">
      <alignment horizontal="center" vertical="center"/>
    </xf>
    <xf numFmtId="176" fontId="0" fillId="4" borderId="5" xfId="0" applyNumberFormat="1" applyFill="1" applyBorder="1">
      <alignment vertical="center"/>
    </xf>
    <xf numFmtId="176" fontId="0" fillId="9" borderId="6" xfId="0" applyNumberFormat="1" applyFill="1" applyBorder="1" applyProtection="1">
      <alignment vertical="center"/>
      <protection locked="0"/>
    </xf>
    <xf numFmtId="0" fontId="0" fillId="4" borderId="14" xfId="0" applyFill="1" applyBorder="1" applyAlignment="1">
      <alignment horizontal="center" vertical="center"/>
    </xf>
    <xf numFmtId="176" fontId="0" fillId="9" borderId="7" xfId="0" applyNumberFormat="1" applyFill="1" applyBorder="1" applyProtection="1">
      <alignment vertical="center"/>
      <protection locked="0"/>
    </xf>
    <xf numFmtId="0" fontId="0" fillId="4" borderId="15" xfId="0" applyFill="1" applyBorder="1" applyAlignment="1">
      <alignment horizontal="center" vertical="center"/>
    </xf>
    <xf numFmtId="176" fontId="0" fillId="4" borderId="8" xfId="0" applyNumberFormat="1" applyFill="1" applyBorder="1">
      <alignment vertical="center"/>
    </xf>
    <xf numFmtId="176" fontId="0" fillId="9" borderId="9" xfId="0" applyNumberFormat="1" applyFill="1" applyBorder="1" applyProtection="1">
      <alignment vertical="center"/>
      <protection locked="0"/>
    </xf>
    <xf numFmtId="176" fontId="0" fillId="2" borderId="5" xfId="0" applyNumberFormat="1" applyFill="1" applyBorder="1" applyProtection="1">
      <alignment vertical="center"/>
      <protection locked="0"/>
    </xf>
    <xf numFmtId="176" fontId="0" fillId="11" borderId="5" xfId="0" applyNumberFormat="1" applyFill="1" applyBorder="1" applyProtection="1">
      <alignment vertical="center"/>
      <protection locked="0"/>
    </xf>
    <xf numFmtId="176" fontId="0" fillId="3" borderId="5" xfId="0" applyNumberFormat="1" applyFill="1" applyBorder="1" applyProtection="1">
      <alignment vertical="center"/>
      <protection locked="0"/>
    </xf>
    <xf numFmtId="176" fontId="0" fillId="7" borderId="6" xfId="0" applyNumberFormat="1" applyFill="1" applyBorder="1" applyProtection="1">
      <alignment vertical="center"/>
      <protection locked="0"/>
    </xf>
    <xf numFmtId="176" fontId="0" fillId="2" borderId="8" xfId="0" applyNumberFormat="1" applyFill="1" applyBorder="1" applyProtection="1">
      <alignment vertical="center"/>
      <protection locked="0"/>
    </xf>
    <xf numFmtId="176" fontId="0" fillId="11" borderId="8" xfId="0" applyNumberFormat="1" applyFill="1" applyBorder="1" applyProtection="1">
      <alignment vertical="center"/>
      <protection locked="0"/>
    </xf>
    <xf numFmtId="176" fontId="0" fillId="0" borderId="1" xfId="0" applyNumberFormat="1" applyFill="1" applyBorder="1" applyProtection="1">
      <alignment vertical="center"/>
      <protection locked="0"/>
    </xf>
    <xf numFmtId="176" fontId="0" fillId="2" borderId="11" xfId="0" applyNumberFormat="1" applyFill="1" applyBorder="1" applyAlignment="1" applyProtection="1">
      <alignment horizontal="center" vertical="center"/>
    </xf>
    <xf numFmtId="176" fontId="0" fillId="0" borderId="16" xfId="0" applyNumberFormat="1" applyBorder="1">
      <alignment vertical="center"/>
    </xf>
    <xf numFmtId="176" fontId="0" fillId="3" borderId="16" xfId="0" applyNumberFormat="1" applyFill="1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176" fontId="0" fillId="0" borderId="7" xfId="0" applyNumberFormat="1" applyBorder="1">
      <alignment vertical="center"/>
    </xf>
    <xf numFmtId="0" fontId="0" fillId="3" borderId="15" xfId="0" applyFill="1" applyBorder="1" applyAlignment="1">
      <alignment horizontal="center" vertical="center"/>
    </xf>
    <xf numFmtId="176" fontId="0" fillId="3" borderId="8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0" fontId="0" fillId="4" borderId="17" xfId="0" applyFill="1" applyBorder="1" applyAlignment="1">
      <alignment horizontal="center" vertical="center"/>
    </xf>
    <xf numFmtId="176" fontId="0" fillId="4" borderId="4" xfId="0" applyNumberFormat="1" applyFill="1" applyBorder="1">
      <alignment vertical="center"/>
    </xf>
    <xf numFmtId="176" fontId="0" fillId="9" borderId="18" xfId="0" applyNumberFormat="1" applyFill="1" applyBorder="1" applyProtection="1">
      <alignment vertical="center"/>
      <protection locked="0"/>
    </xf>
    <xf numFmtId="0" fontId="0" fillId="4" borderId="19" xfId="0" applyFill="1" applyBorder="1" applyAlignment="1">
      <alignment horizontal="center" vertical="center"/>
    </xf>
    <xf numFmtId="176" fontId="0" fillId="4" borderId="20" xfId="0" applyNumberFormat="1" applyFill="1" applyBorder="1">
      <alignment vertical="center"/>
    </xf>
    <xf numFmtId="176" fontId="0" fillId="9" borderId="21" xfId="0" applyNumberFormat="1" applyFill="1" applyBorder="1" applyProtection="1">
      <alignment vertical="center"/>
      <protection locked="0"/>
    </xf>
    <xf numFmtId="176" fontId="0" fillId="3" borderId="6" xfId="0" applyNumberFormat="1" applyFill="1" applyBorder="1" applyProtection="1">
      <alignment vertical="center"/>
      <protection locked="0"/>
    </xf>
    <xf numFmtId="176" fontId="0" fillId="3" borderId="7" xfId="0" applyNumberFormat="1" applyFill="1" applyBorder="1" applyProtection="1">
      <alignment vertical="center"/>
      <protection locked="0"/>
    </xf>
    <xf numFmtId="176" fontId="0" fillId="3" borderId="9" xfId="0" applyNumberFormat="1" applyFill="1" applyBorder="1" applyProtection="1">
      <alignment vertical="center"/>
      <protection locked="0"/>
    </xf>
    <xf numFmtId="176" fontId="0" fillId="0" borderId="22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3" borderId="23" xfId="0" applyNumberFormat="1" applyFill="1" applyBorder="1">
      <alignment vertical="center"/>
    </xf>
    <xf numFmtId="176" fontId="0" fillId="0" borderId="14" xfId="0" applyNumberFormat="1" applyBorder="1">
      <alignment vertical="center"/>
    </xf>
    <xf numFmtId="176" fontId="0" fillId="3" borderId="14" xfId="0" applyNumberFormat="1" applyFill="1" applyBorder="1">
      <alignment vertical="center"/>
    </xf>
    <xf numFmtId="176" fontId="0" fillId="0" borderId="5" xfId="0" applyNumberFormat="1" applyFill="1" applyBorder="1" applyProtection="1">
      <alignment vertical="center"/>
      <protection locked="0"/>
    </xf>
    <xf numFmtId="176" fontId="0" fillId="0" borderId="8" xfId="0" applyNumberFormat="1" applyFill="1" applyBorder="1" applyProtection="1">
      <alignment vertical="center"/>
      <protection locked="0"/>
    </xf>
    <xf numFmtId="14" fontId="0" fillId="0" borderId="0" xfId="0" applyNumberFormat="1">
      <alignment vertical="center"/>
    </xf>
    <xf numFmtId="176" fontId="0" fillId="0" borderId="22" xfId="0" applyNumberFormat="1" applyFill="1" applyBorder="1" applyProtection="1">
      <alignment vertical="center"/>
      <protection locked="0"/>
    </xf>
    <xf numFmtId="176" fontId="0" fillId="0" borderId="2" xfId="0" applyNumberFormat="1" applyFill="1" applyBorder="1" applyProtection="1">
      <alignment vertical="center"/>
      <protection locked="0"/>
    </xf>
    <xf numFmtId="176" fontId="0" fillId="0" borderId="23" xfId="0" applyNumberFormat="1" applyFill="1" applyBorder="1" applyProtection="1">
      <alignment vertical="center"/>
      <protection locked="0"/>
    </xf>
    <xf numFmtId="176" fontId="0" fillId="0" borderId="14" xfId="0" applyNumberFormat="1" applyFill="1" applyBorder="1" applyProtection="1">
      <alignment vertical="center"/>
      <protection locked="0"/>
    </xf>
    <xf numFmtId="0" fontId="0" fillId="0" borderId="0" xfId="0" applyNumberFormat="1">
      <alignment vertical="center"/>
    </xf>
    <xf numFmtId="0" fontId="5" fillId="0" borderId="0" xfId="0" applyFont="1">
      <alignment vertical="center"/>
    </xf>
    <xf numFmtId="178" fontId="5" fillId="0" borderId="0" xfId="0" applyNumberFormat="1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38" fontId="2" fillId="0" borderId="10" xfId="1" applyFont="1" applyBorder="1">
      <alignment vertical="center"/>
    </xf>
    <xf numFmtId="38" fontId="2" fillId="0" borderId="11" xfId="1" applyFont="1" applyBorder="1">
      <alignment vertical="center"/>
    </xf>
    <xf numFmtId="38" fontId="2" fillId="12" borderId="12" xfId="1" applyFont="1" applyFill="1" applyBorder="1">
      <alignment vertical="center"/>
    </xf>
    <xf numFmtId="178" fontId="8" fillId="0" borderId="0" xfId="0" applyNumberFormat="1" applyFont="1" applyAlignment="1">
      <alignment horizontal="left" vertical="center"/>
    </xf>
    <xf numFmtId="58" fontId="0" fillId="0" borderId="0" xfId="0" applyNumberFormat="1">
      <alignment vertical="center"/>
    </xf>
    <xf numFmtId="0" fontId="9" fillId="0" borderId="0" xfId="0" applyFont="1" applyFill="1" applyBorder="1" applyAlignment="1">
      <alignment horizontal="left" vertical="center"/>
    </xf>
    <xf numFmtId="0" fontId="2" fillId="13" borderId="25" xfId="0" applyFont="1" applyFill="1" applyBorder="1" applyAlignment="1" applyProtection="1">
      <alignment horizontal="center" vertical="center"/>
      <protection locked="0"/>
    </xf>
    <xf numFmtId="58" fontId="2" fillId="13" borderId="25" xfId="0" applyNumberFormat="1" applyFont="1" applyFill="1" applyBorder="1" applyAlignment="1" applyProtection="1">
      <alignment horizontal="center" vertical="center"/>
      <protection locked="0"/>
    </xf>
    <xf numFmtId="0" fontId="2" fillId="13" borderId="26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left" vertical="center"/>
    </xf>
    <xf numFmtId="14" fontId="2" fillId="13" borderId="24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EF800"/>
      <color rgb="FFFFFF99"/>
      <color rgb="FFCCECFF"/>
      <color rgb="FFEBE600"/>
      <color rgb="FFF8F8F8"/>
      <color rgb="FFCCFF66"/>
      <color rgb="FFCCFF99"/>
      <color rgb="FFCCFFCC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0</xdr:row>
      <xdr:rowOff>285750</xdr:rowOff>
    </xdr:from>
    <xdr:to>
      <xdr:col>14</xdr:col>
      <xdr:colOff>190500</xdr:colOff>
      <xdr:row>3</xdr:row>
      <xdr:rowOff>381000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72000" y="285750"/>
          <a:ext cx="2609850" cy="1314450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i="0"/>
            <a:t>＜ご注意ください！＞</a:t>
          </a:r>
          <a:endParaRPr kumimoji="1" lang="en-US" altLang="ja-JP" sz="1100" b="1" i="0"/>
        </a:p>
        <a:p>
          <a:pPr algn="l"/>
          <a:r>
            <a:rPr kumimoji="1" lang="ja-JP" altLang="en-US" sz="1100" b="1" i="0"/>
            <a:t>「前回検針日」及び「今回検針日」の</a:t>
          </a:r>
          <a:endParaRPr kumimoji="1" lang="en-US" altLang="ja-JP" sz="1100" b="1" i="0"/>
        </a:p>
        <a:p>
          <a:pPr algn="l"/>
          <a:r>
            <a:rPr kumimoji="1" lang="ja-JP" altLang="en-US" sz="1100" b="1" i="0"/>
            <a:t>項目が正しく入力されていない場合、</a:t>
          </a:r>
          <a:endParaRPr kumimoji="1" lang="en-US" altLang="ja-JP" sz="1100" b="1" i="0"/>
        </a:p>
        <a:p>
          <a:pPr algn="l"/>
          <a:r>
            <a:rPr kumimoji="1" lang="ja-JP" altLang="en-US" sz="1100" b="1" i="0"/>
            <a:t>料金が正しく計算されませんので、</a:t>
          </a:r>
          <a:endParaRPr kumimoji="1" lang="en-US" altLang="ja-JP" sz="1100" b="1" i="0"/>
        </a:p>
        <a:p>
          <a:pPr algn="l"/>
          <a:r>
            <a:rPr kumimoji="1" lang="ja-JP" altLang="en-US" sz="1100" b="1" i="0"/>
            <a:t>ご注意ください。</a:t>
          </a:r>
          <a:endParaRPr kumimoji="1" lang="en-US" altLang="ja-JP" sz="1100" b="1" i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8"/>
  <sheetViews>
    <sheetView showGridLines="0" tabSelected="1" workbookViewId="0">
      <selection activeCell="C3" sqref="C3"/>
    </sheetView>
  </sheetViews>
  <sheetFormatPr defaultRowHeight="13.5" x14ac:dyDescent="0.15"/>
  <cols>
    <col min="2" max="2" width="26.125" customWidth="1"/>
    <col min="3" max="3" width="20.625" customWidth="1"/>
    <col min="4" max="4" width="21" hidden="1" customWidth="1"/>
    <col min="5" max="5" width="15.125" hidden="1" customWidth="1"/>
    <col min="6" max="6" width="3.75" hidden="1" customWidth="1"/>
    <col min="7" max="7" width="1.25" hidden="1" customWidth="1"/>
    <col min="8" max="10" width="0" hidden="1" customWidth="1"/>
  </cols>
  <sheetData>
    <row r="1" spans="2:7" ht="30" customHeight="1" thickBot="1" x14ac:dyDescent="0.2">
      <c r="B1" t="s">
        <v>78</v>
      </c>
      <c r="D1" s="87"/>
      <c r="E1" s="92"/>
      <c r="G1" s="92"/>
    </row>
    <row r="2" spans="2:7" ht="33" customHeight="1" x14ac:dyDescent="0.15">
      <c r="B2" s="97" t="s">
        <v>67</v>
      </c>
      <c r="C2" s="109" t="s">
        <v>71</v>
      </c>
      <c r="D2" s="87" t="str">
        <f>"令和" &amp; MID(C2,FIND("和",C2,1)+1,FIND("年",C2,1)-FIND("和",C2,1)-1) &amp; "年" &amp;MID(C2,FIND("年",C2,1)+1,FIND("月",C2,1)-FIND("年",C2,1)-1)&amp;"月"&amp;"1日"</f>
        <v>令和2年4月1日</v>
      </c>
      <c r="E2" s="92">
        <f>設定_4・5月!G3-令和2年4月分計算フォーム!D2</f>
        <v>0</v>
      </c>
    </row>
    <row r="3" spans="2:7" ht="33" customHeight="1" x14ac:dyDescent="0.15">
      <c r="B3" s="98" t="s">
        <v>63</v>
      </c>
      <c r="C3" s="105">
        <v>20</v>
      </c>
      <c r="E3" s="1" t="s">
        <v>49</v>
      </c>
      <c r="F3">
        <f>D5-D4</f>
        <v>60</v>
      </c>
    </row>
    <row r="4" spans="2:7" ht="33" customHeight="1" x14ac:dyDescent="0.15">
      <c r="B4" s="98" t="s">
        <v>42</v>
      </c>
      <c r="C4" s="106">
        <v>43862</v>
      </c>
      <c r="D4" s="94">
        <f>C4</f>
        <v>43862</v>
      </c>
      <c r="E4" s="1" t="s">
        <v>50</v>
      </c>
      <c r="F4">
        <f>設定_4・5月!G3-令和2年4月分計算フォーム!D4-1</f>
        <v>59</v>
      </c>
      <c r="G4" s="102">
        <f>C4</f>
        <v>43862</v>
      </c>
    </row>
    <row r="5" spans="2:7" ht="33" customHeight="1" x14ac:dyDescent="0.15">
      <c r="B5" s="98" t="s">
        <v>43</v>
      </c>
      <c r="C5" s="106">
        <v>43922</v>
      </c>
      <c r="D5" s="94">
        <f>C5</f>
        <v>43922</v>
      </c>
      <c r="E5" s="1" t="s">
        <v>51</v>
      </c>
      <c r="F5">
        <f>D5-設定_4・5月!G3+1</f>
        <v>1</v>
      </c>
      <c r="G5" s="102">
        <f>C5</f>
        <v>43922</v>
      </c>
    </row>
    <row r="6" spans="2:7" ht="33" customHeight="1" x14ac:dyDescent="0.15">
      <c r="B6" s="98" t="s">
        <v>52</v>
      </c>
      <c r="C6" s="105">
        <v>0</v>
      </c>
    </row>
    <row r="7" spans="2:7" ht="33" customHeight="1" thickBot="1" x14ac:dyDescent="0.2">
      <c r="B7" s="98" t="s">
        <v>54</v>
      </c>
      <c r="C7" s="107" t="s">
        <v>68</v>
      </c>
    </row>
    <row r="8" spans="2:7" ht="9" customHeight="1" x14ac:dyDescent="0.15"/>
    <row r="9" spans="2:7" ht="33" customHeight="1" thickBot="1" x14ac:dyDescent="0.2">
      <c r="B9" s="108" t="s">
        <v>66</v>
      </c>
      <c r="C9" s="93"/>
    </row>
    <row r="10" spans="2:7" ht="33" customHeight="1" thickTop="1" x14ac:dyDescent="0.15">
      <c r="B10" s="95" t="s">
        <v>53</v>
      </c>
      <c r="C10" s="99">
        <f>IF(設定_4・5月!I3=0,設定_4・5月!G8,IF((設定_4・5月!I3=1),設定_4・5月!I8,設定_4・5月!E8))</f>
        <v>1723</v>
      </c>
    </row>
    <row r="11" spans="2:7" ht="33" customHeight="1" x14ac:dyDescent="0.15">
      <c r="B11" s="95" t="s">
        <v>54</v>
      </c>
      <c r="C11" s="100">
        <f>設定_4・5月!E14</f>
        <v>1502</v>
      </c>
    </row>
    <row r="12" spans="2:7" ht="33" customHeight="1" thickBot="1" x14ac:dyDescent="0.2">
      <c r="B12" s="96" t="s">
        <v>3</v>
      </c>
      <c r="C12" s="101">
        <f>SUM(C10:C11)</f>
        <v>3225</v>
      </c>
    </row>
    <row r="13" spans="2:7" ht="6.75" customHeight="1" thickTop="1" x14ac:dyDescent="0.15"/>
    <row r="14" spans="2:7" x14ac:dyDescent="0.15">
      <c r="B14" t="s">
        <v>74</v>
      </c>
    </row>
    <row r="15" spans="2:7" x14ac:dyDescent="0.15">
      <c r="B15" t="s">
        <v>75</v>
      </c>
    </row>
    <row r="16" spans="2:7" x14ac:dyDescent="0.15">
      <c r="B16" s="104" t="s">
        <v>73</v>
      </c>
    </row>
    <row r="17" spans="2:2" x14ac:dyDescent="0.15">
      <c r="B17" t="s">
        <v>76</v>
      </c>
    </row>
    <row r="18" spans="2:2" x14ac:dyDescent="0.15">
      <c r="B18" t="s">
        <v>77</v>
      </c>
    </row>
  </sheetData>
  <sheetProtection algorithmName="SHA-512" hashValue="BaAf/YWFnvY81tMn7GGnojXZ6hy/sdmd0EhqS0BYzE+sTOPjSt17P+zNkCTyqRSjDQuE+lk7LalWsCqyRP3N1g==" saltValue="wndHffadFrczYeSsMGS/RQ==" spinCount="100000" sheet="1" selectLockedCells="1"/>
  <phoneticPr fontId="1"/>
  <dataValidations xWindow="470" yWindow="171" count="2">
    <dataValidation type="custom" allowBlank="1" showInputMessage="1" showErrorMessage="1" sqref="H6" xr:uid="{00000000-0002-0000-0000-000000000000}">
      <formula1>G6&gt;10</formula1>
    </dataValidation>
    <dataValidation imeMode="off" allowBlank="1" showInputMessage="1" showErrorMessage="1" sqref="C6 C2" xr:uid="{5248CC22-DEC9-4A3F-B1A6-E8D415422915}"/>
  </dataValidations>
  <pageMargins left="0.7" right="0.7" top="0.75" bottom="0.75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470" yWindow="171" count="4">
        <x14:dataValidation type="list" imeMode="off" allowBlank="1" showInputMessage="1" showErrorMessage="1" xr:uid="{00000000-0002-0000-0000-000002000000}">
          <x14:formula1>
            <xm:f>一般下水_4・5月!$D$14:$D$24</xm:f>
          </x14:formula1>
          <xm:sqref>C3</xm:sqref>
        </x14:dataValidation>
        <x14:dataValidation type="list" imeMode="off" allowBlank="1" showInputMessage="1" showErrorMessage="1" xr:uid="{00000000-0002-0000-0000-000003000000}">
          <x14:formula1>
            <xm:f>設定_4・5月!$L$3:$L$21</xm:f>
          </x14:formula1>
          <xm:sqref>C4</xm:sqref>
        </x14:dataValidation>
        <x14:dataValidation type="list" imeMode="off" allowBlank="1" showInputMessage="1" showErrorMessage="1" xr:uid="{00000000-0002-0000-0000-000004000000}">
          <x14:formula1>
            <xm:f>設定_4・5月!$M$3:$M$21</xm:f>
          </x14:formula1>
          <xm:sqref>C5</xm:sqref>
        </x14:dataValidation>
        <x14:dataValidation type="list" imeMode="off" allowBlank="1" showInputMessage="1" showErrorMessage="1" xr:uid="{00000000-0002-0000-0000-000005000000}">
          <x14:formula1>
            <xm:f>設定_4・5月!$E$3:$E$4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S28"/>
  <sheetViews>
    <sheetView topLeftCell="T1" zoomScale="85" zoomScaleNormal="85" workbookViewId="0">
      <selection sqref="A1:S1048576"/>
    </sheetView>
  </sheetViews>
  <sheetFormatPr defaultColWidth="8.875" defaultRowHeight="13.5" x14ac:dyDescent="0.15"/>
  <cols>
    <col min="1" max="1" width="8.875" style="1" hidden="1" customWidth="1"/>
    <col min="2" max="19" width="8.875" hidden="1" customWidth="1"/>
  </cols>
  <sheetData>
    <row r="1" spans="1:19" ht="21" customHeight="1" x14ac:dyDescent="0.15">
      <c r="A1" s="23" t="s">
        <v>39</v>
      </c>
    </row>
    <row r="2" spans="1:19" ht="21" customHeight="1" x14ac:dyDescent="0.15"/>
    <row r="3" spans="1:19" ht="21" customHeight="1" thickBot="1" x14ac:dyDescent="0.2">
      <c r="A3" s="18" t="s">
        <v>28</v>
      </c>
      <c r="D3" s="19" t="s">
        <v>27</v>
      </c>
      <c r="H3" s="18" t="s">
        <v>30</v>
      </c>
    </row>
    <row r="4" spans="1:19" ht="21" customHeight="1" thickTop="1" x14ac:dyDescent="0.15">
      <c r="A4" s="6" t="s">
        <v>6</v>
      </c>
      <c r="B4" s="24">
        <f>令和2年4月分計算フォーム!C3</f>
        <v>20</v>
      </c>
      <c r="D4" s="2" t="s">
        <v>0</v>
      </c>
      <c r="E4" s="3">
        <f>SUM(I9:P9)</f>
        <v>0</v>
      </c>
      <c r="H4" s="2" t="s">
        <v>10</v>
      </c>
      <c r="I4" s="17">
        <v>1</v>
      </c>
      <c r="J4" s="17">
        <v>2</v>
      </c>
      <c r="K4" s="17">
        <v>3</v>
      </c>
      <c r="L4" s="17">
        <v>4</v>
      </c>
      <c r="M4" s="17">
        <v>5</v>
      </c>
      <c r="N4" s="17">
        <v>6</v>
      </c>
      <c r="O4" s="17">
        <v>7</v>
      </c>
      <c r="P4" s="17">
        <v>8</v>
      </c>
      <c r="Q4" s="17">
        <v>9</v>
      </c>
      <c r="R4" s="17">
        <v>10</v>
      </c>
      <c r="S4" s="17">
        <v>11</v>
      </c>
    </row>
    <row r="5" spans="1:19" ht="21" customHeight="1" x14ac:dyDescent="0.15">
      <c r="A5" s="6" t="s">
        <v>7</v>
      </c>
      <c r="B5" s="27">
        <f>令和2年4月分計算フォーム!C6</f>
        <v>0</v>
      </c>
      <c r="D5" s="2" t="s">
        <v>1</v>
      </c>
      <c r="E5" s="3">
        <f>IF($B$4="",0,VLOOKUP(B4,D14:E24,2)*B6)</f>
        <v>1366</v>
      </c>
      <c r="H5" s="2" t="s">
        <v>29</v>
      </c>
      <c r="I5" s="3">
        <f>IF(I6="","",B5)</f>
        <v>0</v>
      </c>
      <c r="J5" s="3">
        <f>IF(J6="","",I5-I7)</f>
        <v>0</v>
      </c>
      <c r="K5" s="3">
        <f t="shared" ref="K5:S5" si="0">IF(K6="","",J5-J7)</f>
        <v>0</v>
      </c>
      <c r="L5" s="3">
        <f t="shared" si="0"/>
        <v>0</v>
      </c>
      <c r="M5" s="3">
        <f t="shared" si="0"/>
        <v>0</v>
      </c>
      <c r="N5" s="3">
        <f t="shared" si="0"/>
        <v>0</v>
      </c>
      <c r="O5" s="3">
        <f t="shared" si="0"/>
        <v>0</v>
      </c>
      <c r="P5" s="3" t="str">
        <f t="shared" si="0"/>
        <v/>
      </c>
      <c r="Q5" s="3" t="str">
        <f t="shared" si="0"/>
        <v/>
      </c>
      <c r="R5" s="3" t="str">
        <f t="shared" si="0"/>
        <v/>
      </c>
      <c r="S5" s="3" t="str">
        <f t="shared" si="0"/>
        <v/>
      </c>
    </row>
    <row r="6" spans="1:19" ht="21" customHeight="1" thickBot="1" x14ac:dyDescent="0.2">
      <c r="A6" s="6" t="s">
        <v>15</v>
      </c>
      <c r="B6" s="58">
        <v>1</v>
      </c>
      <c r="D6" s="2" t="s">
        <v>2</v>
      </c>
      <c r="E6" s="20">
        <f>B8</f>
        <v>1.1000000000000001</v>
      </c>
      <c r="H6" s="61" t="s">
        <v>11</v>
      </c>
      <c r="I6" s="62">
        <f>IF(VLOOKUP(I4,$A$14:$B$24,2)=0,999999,IF(VLOOKUP(I4,$A$14:$B$24,2)="-","",(VLOOKUP(I4,$A$14:$B$24,2)*2*$B$6)))</f>
        <v>20</v>
      </c>
      <c r="J6" s="62">
        <f>IF(VLOOKUP(J4,$A$14:$B$24,2)=0,999999,IF(VLOOKUP(J4,$A$14:$B$24,2)="-","",(VLOOKUP(J4,$A$14:$B$24,2)*2*$B$6-VLOOKUP(I4,$A$14:$B$24,2)*2*$B$6)))</f>
        <v>20</v>
      </c>
      <c r="K6" s="62">
        <f>IF(VLOOKUP(K4,$A$14:$B$24,2)=0,999999,IF(VLOOKUP(K4,$A$14:$B$24,2)="-","",(VLOOKUP(K4,$A$14:$B$24,2)*2*$B$6-VLOOKUP(J4,$A$14:$B$24,2)*2*$B$6)))</f>
        <v>20</v>
      </c>
      <c r="L6" s="62">
        <f t="shared" ref="L6:S6" si="1">IF(VLOOKUP(L4,$A$14:$B$24,2)=0,999999,IF(VLOOKUP(L4,$A$14:$B$24,2)="-","",(VLOOKUP(L4,$A$14:$B$24,2)*2*$B$6-VLOOKUP(K4,$A$14:$B$24,2)*2*$B$6)))</f>
        <v>40</v>
      </c>
      <c r="M6" s="62">
        <f t="shared" si="1"/>
        <v>500</v>
      </c>
      <c r="N6" s="62">
        <f t="shared" si="1"/>
        <v>1400</v>
      </c>
      <c r="O6" s="62">
        <f t="shared" si="1"/>
        <v>999999</v>
      </c>
      <c r="P6" s="3" t="str">
        <f t="shared" si="1"/>
        <v/>
      </c>
      <c r="Q6" s="3" t="str">
        <f t="shared" si="1"/>
        <v/>
      </c>
      <c r="R6" s="3" t="str">
        <f t="shared" si="1"/>
        <v/>
      </c>
      <c r="S6" s="3" t="str">
        <f t="shared" si="1"/>
        <v/>
      </c>
    </row>
    <row r="7" spans="1:19" ht="21" customHeight="1" thickTop="1" x14ac:dyDescent="0.15">
      <c r="A7" s="6" t="s">
        <v>14</v>
      </c>
      <c r="B7" s="25">
        <v>0</v>
      </c>
      <c r="D7" s="2" t="s">
        <v>4</v>
      </c>
      <c r="E7" s="3">
        <f>ROUNDDOWN((E4+E5)*E6,0)</f>
        <v>1502</v>
      </c>
      <c r="H7" s="63" t="s">
        <v>12</v>
      </c>
      <c r="I7" s="64">
        <f>IF(I5&gt;I6,I6,I5)</f>
        <v>0</v>
      </c>
      <c r="J7" s="64">
        <f t="shared" ref="J7:S7" si="2">IF(J5&gt;J6,J6,J5)</f>
        <v>0</v>
      </c>
      <c r="K7" s="64">
        <f t="shared" si="2"/>
        <v>0</v>
      </c>
      <c r="L7" s="64">
        <f t="shared" si="2"/>
        <v>0</v>
      </c>
      <c r="M7" s="64">
        <f t="shared" si="2"/>
        <v>0</v>
      </c>
      <c r="N7" s="64">
        <f t="shared" si="2"/>
        <v>0</v>
      </c>
      <c r="O7" s="65">
        <f t="shared" si="2"/>
        <v>0</v>
      </c>
      <c r="P7" s="59" t="str">
        <f t="shared" si="2"/>
        <v/>
      </c>
      <c r="Q7" s="3" t="str">
        <f t="shared" si="2"/>
        <v/>
      </c>
      <c r="R7" s="3" t="str">
        <f t="shared" si="2"/>
        <v/>
      </c>
      <c r="S7" s="3" t="str">
        <f t="shared" si="2"/>
        <v/>
      </c>
    </row>
    <row r="8" spans="1:19" ht="21" customHeight="1" thickBot="1" x14ac:dyDescent="0.2">
      <c r="A8" s="7" t="s">
        <v>2</v>
      </c>
      <c r="B8" s="26">
        <v>1.1000000000000001</v>
      </c>
      <c r="D8" s="2" t="s">
        <v>5</v>
      </c>
      <c r="E8" s="21">
        <f>B7</f>
        <v>0</v>
      </c>
      <c r="H8" s="66" t="s">
        <v>13</v>
      </c>
      <c r="I8" s="3">
        <f>IF(I7="","",IF($B$4="","",VLOOKUP($B$4,$H$14:$S$24,2)))</f>
        <v>0</v>
      </c>
      <c r="J8" s="3">
        <f>IF(J7="","",IF($B$4="","",VLOOKUP($B$4,$H$14:$S$24,3)))</f>
        <v>78</v>
      </c>
      <c r="K8" s="3">
        <f>IF(K7="","",IF($B$4="","",VLOOKUP($B$4,$H$14:$S$24,4)))</f>
        <v>96</v>
      </c>
      <c r="L8" s="3">
        <f>IF(L7="","",IF($B$4="","",VLOOKUP($B$4,$H$14:$S$24,5)))</f>
        <v>115</v>
      </c>
      <c r="M8" s="3">
        <f>IF(M7="","",IF($B$4="","",VLOOKUP($B$4,$H$14:$S$24,6)))</f>
        <v>145</v>
      </c>
      <c r="N8" s="3">
        <f>IF(N7="","",IF($B$4="","",VLOOKUP($B$4,$H$14:$S$24,7)))</f>
        <v>174</v>
      </c>
      <c r="O8" s="67">
        <f>IF(O7="","",IF($B$4="","",VLOOKUP($B$4,$H$14:$S$24,8)))</f>
        <v>224</v>
      </c>
      <c r="P8" s="59" t="str">
        <f>IF(P7="","",IF($B$4="","",VLOOKUP($B$4,$H$14:$S$24,9)))</f>
        <v/>
      </c>
      <c r="Q8" s="3" t="str">
        <f>IF(Q7="","",IF($B$4="","",VLOOKUP($B$4,$H$14:$S$24,10)))</f>
        <v/>
      </c>
      <c r="R8" s="3" t="str">
        <f>IF(R7="","",IF($B$4="","",VLOOKUP($B$4,$H$14:$S$24,11)))</f>
        <v/>
      </c>
      <c r="S8" s="3" t="str">
        <f>IF(S7="","",IF($B$4="","",VLOOKUP($B$4,$H$14:$S$24,12)))</f>
        <v/>
      </c>
    </row>
    <row r="9" spans="1:19" ht="21" customHeight="1" thickTop="1" thickBot="1" x14ac:dyDescent="0.2">
      <c r="D9" s="4" t="s">
        <v>3</v>
      </c>
      <c r="E9" s="5">
        <f>E7-E8</f>
        <v>1502</v>
      </c>
      <c r="H9" s="68" t="s">
        <v>16</v>
      </c>
      <c r="I9" s="69">
        <f>IF(I8="","",I7*I8)</f>
        <v>0</v>
      </c>
      <c r="J9" s="69">
        <f t="shared" ref="J9:S9" si="3">IF(J8="","",J7*J8)</f>
        <v>0</v>
      </c>
      <c r="K9" s="69">
        <f t="shared" si="3"/>
        <v>0</v>
      </c>
      <c r="L9" s="69">
        <f t="shared" si="3"/>
        <v>0</v>
      </c>
      <c r="M9" s="69">
        <f t="shared" si="3"/>
        <v>0</v>
      </c>
      <c r="N9" s="69">
        <f t="shared" si="3"/>
        <v>0</v>
      </c>
      <c r="O9" s="70">
        <f t="shared" si="3"/>
        <v>0</v>
      </c>
      <c r="P9" s="60" t="str">
        <f t="shared" si="3"/>
        <v/>
      </c>
      <c r="Q9" s="5" t="str">
        <f t="shared" si="3"/>
        <v/>
      </c>
      <c r="R9" s="5" t="str">
        <f t="shared" si="3"/>
        <v/>
      </c>
      <c r="S9" s="5" t="str">
        <f t="shared" si="3"/>
        <v/>
      </c>
    </row>
    <row r="10" spans="1:19" ht="21" customHeight="1" thickTop="1" x14ac:dyDescent="0.15"/>
    <row r="11" spans="1:19" ht="21" customHeight="1" x14ac:dyDescent="0.15"/>
    <row r="12" spans="1:19" ht="21" customHeight="1" x14ac:dyDescent="0.15">
      <c r="A12" s="18" t="s">
        <v>26</v>
      </c>
      <c r="D12" s="18" t="s">
        <v>35</v>
      </c>
      <c r="I12" s="18" t="s">
        <v>34</v>
      </c>
    </row>
    <row r="13" spans="1:19" ht="21" customHeight="1" thickBot="1" x14ac:dyDescent="0.2">
      <c r="A13" s="28" t="s">
        <v>10</v>
      </c>
      <c r="B13" s="29" t="s">
        <v>25</v>
      </c>
      <c r="D13" s="40" t="s">
        <v>6</v>
      </c>
      <c r="E13" s="40" t="s">
        <v>8</v>
      </c>
      <c r="F13" s="22" t="s">
        <v>9</v>
      </c>
      <c r="H13" s="40" t="s">
        <v>6</v>
      </c>
      <c r="I13" s="22" t="s">
        <v>38</v>
      </c>
      <c r="J13" s="22" t="s">
        <v>17</v>
      </c>
      <c r="K13" s="22" t="s">
        <v>18</v>
      </c>
      <c r="L13" s="22" t="s">
        <v>19</v>
      </c>
      <c r="M13" s="22" t="s">
        <v>20</v>
      </c>
      <c r="N13" s="22" t="s">
        <v>21</v>
      </c>
      <c r="O13" s="22" t="s">
        <v>22</v>
      </c>
      <c r="P13" s="22" t="s">
        <v>23</v>
      </c>
      <c r="Q13" s="22" t="s">
        <v>24</v>
      </c>
      <c r="R13" s="22" t="s">
        <v>31</v>
      </c>
      <c r="S13" s="22" t="s">
        <v>32</v>
      </c>
    </row>
    <row r="14" spans="1:19" ht="21" customHeight="1" thickTop="1" x14ac:dyDescent="0.15">
      <c r="A14" s="31">
        <v>1</v>
      </c>
      <c r="B14" s="30">
        <v>10</v>
      </c>
      <c r="D14" s="43">
        <v>13</v>
      </c>
      <c r="E14" s="44">
        <f>F14*2</f>
        <v>1366</v>
      </c>
      <c r="F14" s="45">
        <v>683</v>
      </c>
      <c r="H14" s="43">
        <v>13</v>
      </c>
      <c r="I14" s="85">
        <v>0</v>
      </c>
      <c r="J14" s="34">
        <v>78</v>
      </c>
      <c r="K14" s="8">
        <v>96</v>
      </c>
      <c r="L14" s="9">
        <v>115</v>
      </c>
      <c r="M14" s="51">
        <v>145</v>
      </c>
      <c r="N14" s="52">
        <v>174</v>
      </c>
      <c r="O14" s="77">
        <v>224</v>
      </c>
      <c r="P14" s="41"/>
      <c r="Q14" s="39"/>
      <c r="R14" s="39"/>
      <c r="S14" s="39"/>
    </row>
    <row r="15" spans="1:19" ht="21" customHeight="1" x14ac:dyDescent="0.15">
      <c r="A15" s="31">
        <v>2</v>
      </c>
      <c r="B15" s="27">
        <v>20</v>
      </c>
      <c r="D15" s="46">
        <v>20</v>
      </c>
      <c r="E15" s="37">
        <f t="shared" ref="E15:E24" si="4">F15*2</f>
        <v>1366</v>
      </c>
      <c r="F15" s="47">
        <v>683</v>
      </c>
      <c r="H15" s="46">
        <v>20</v>
      </c>
      <c r="I15" s="57">
        <v>0</v>
      </c>
      <c r="J15" s="35">
        <v>78</v>
      </c>
      <c r="K15" s="10">
        <v>96</v>
      </c>
      <c r="L15" s="11">
        <v>115</v>
      </c>
      <c r="M15" s="12">
        <v>145</v>
      </c>
      <c r="N15" s="42">
        <v>174</v>
      </c>
      <c r="O15" s="78">
        <v>224</v>
      </c>
      <c r="P15" s="41"/>
      <c r="Q15" s="39"/>
      <c r="R15" s="39"/>
      <c r="S15" s="39"/>
    </row>
    <row r="16" spans="1:19" ht="21" customHeight="1" x14ac:dyDescent="0.15">
      <c r="A16" s="31">
        <v>3</v>
      </c>
      <c r="B16" s="27">
        <v>30</v>
      </c>
      <c r="D16" s="71">
        <v>25</v>
      </c>
      <c r="E16" s="72">
        <f t="shared" si="4"/>
        <v>1366</v>
      </c>
      <c r="F16" s="73">
        <v>683</v>
      </c>
      <c r="H16" s="46">
        <v>25</v>
      </c>
      <c r="I16" s="57">
        <v>0</v>
      </c>
      <c r="J16" s="35">
        <v>78</v>
      </c>
      <c r="K16" s="10">
        <v>96</v>
      </c>
      <c r="L16" s="11">
        <v>115</v>
      </c>
      <c r="M16" s="12">
        <v>145</v>
      </c>
      <c r="N16" s="42">
        <v>174</v>
      </c>
      <c r="O16" s="78">
        <v>224</v>
      </c>
      <c r="P16" s="41"/>
      <c r="Q16" s="39"/>
      <c r="R16" s="39"/>
      <c r="S16" s="39"/>
    </row>
    <row r="17" spans="1:19" ht="21" customHeight="1" x14ac:dyDescent="0.15">
      <c r="A17" s="31">
        <v>4</v>
      </c>
      <c r="B17" s="27">
        <v>50</v>
      </c>
      <c r="D17" s="46">
        <v>30</v>
      </c>
      <c r="E17" s="37">
        <f t="shared" si="4"/>
        <v>1366</v>
      </c>
      <c r="F17" s="47">
        <v>683</v>
      </c>
      <c r="H17" s="46">
        <v>30</v>
      </c>
      <c r="I17" s="57">
        <v>0</v>
      </c>
      <c r="J17" s="35">
        <v>78</v>
      </c>
      <c r="K17" s="10">
        <v>96</v>
      </c>
      <c r="L17" s="11">
        <v>115</v>
      </c>
      <c r="M17" s="12">
        <v>145</v>
      </c>
      <c r="N17" s="42">
        <v>174</v>
      </c>
      <c r="O17" s="78">
        <v>224</v>
      </c>
      <c r="P17" s="41"/>
      <c r="Q17" s="39"/>
      <c r="R17" s="39"/>
      <c r="S17" s="39"/>
    </row>
    <row r="18" spans="1:19" ht="21" customHeight="1" x14ac:dyDescent="0.15">
      <c r="A18" s="31">
        <v>5</v>
      </c>
      <c r="B18" s="27">
        <v>300</v>
      </c>
      <c r="D18" s="46">
        <v>40</v>
      </c>
      <c r="E18" s="37">
        <f t="shared" si="4"/>
        <v>1366</v>
      </c>
      <c r="F18" s="47">
        <v>683</v>
      </c>
      <c r="H18" s="46">
        <v>40</v>
      </c>
      <c r="I18" s="57">
        <v>0</v>
      </c>
      <c r="J18" s="35">
        <v>78</v>
      </c>
      <c r="K18" s="10">
        <v>96</v>
      </c>
      <c r="L18" s="11">
        <v>115</v>
      </c>
      <c r="M18" s="12">
        <v>145</v>
      </c>
      <c r="N18" s="42">
        <v>174</v>
      </c>
      <c r="O18" s="78">
        <v>224</v>
      </c>
      <c r="P18" s="41"/>
      <c r="Q18" s="39"/>
      <c r="R18" s="39"/>
      <c r="S18" s="39"/>
    </row>
    <row r="19" spans="1:19" ht="21" customHeight="1" x14ac:dyDescent="0.15">
      <c r="A19" s="31">
        <v>6</v>
      </c>
      <c r="B19" s="27">
        <v>1000</v>
      </c>
      <c r="D19" s="46">
        <v>50</v>
      </c>
      <c r="E19" s="37">
        <f t="shared" si="4"/>
        <v>1366</v>
      </c>
      <c r="F19" s="47">
        <v>683</v>
      </c>
      <c r="H19" s="46">
        <v>50</v>
      </c>
      <c r="I19" s="57">
        <v>0</v>
      </c>
      <c r="J19" s="35">
        <v>78</v>
      </c>
      <c r="K19" s="10">
        <v>96</v>
      </c>
      <c r="L19" s="11">
        <v>115</v>
      </c>
      <c r="M19" s="12">
        <v>145</v>
      </c>
      <c r="N19" s="42">
        <v>174</v>
      </c>
      <c r="O19" s="78">
        <v>224</v>
      </c>
      <c r="P19" s="41"/>
      <c r="Q19" s="39"/>
      <c r="R19" s="39"/>
      <c r="S19" s="39"/>
    </row>
    <row r="20" spans="1:19" ht="21" customHeight="1" x14ac:dyDescent="0.15">
      <c r="A20" s="31">
        <v>7</v>
      </c>
      <c r="B20" s="27">
        <v>0</v>
      </c>
      <c r="D20" s="74">
        <v>75</v>
      </c>
      <c r="E20" s="75">
        <f t="shared" si="4"/>
        <v>1366</v>
      </c>
      <c r="F20" s="76">
        <v>683</v>
      </c>
      <c r="H20" s="46">
        <v>75</v>
      </c>
      <c r="I20" s="57">
        <v>0</v>
      </c>
      <c r="J20" s="35">
        <v>78</v>
      </c>
      <c r="K20" s="10">
        <v>96</v>
      </c>
      <c r="L20" s="11">
        <v>115</v>
      </c>
      <c r="M20" s="12">
        <v>145</v>
      </c>
      <c r="N20" s="42">
        <v>174</v>
      </c>
      <c r="O20" s="78">
        <v>224</v>
      </c>
      <c r="P20" s="41"/>
      <c r="Q20" s="39"/>
      <c r="R20" s="39"/>
      <c r="S20" s="39"/>
    </row>
    <row r="21" spans="1:19" ht="21" customHeight="1" x14ac:dyDescent="0.15">
      <c r="A21" s="31">
        <v>8</v>
      </c>
      <c r="B21" s="27" t="s">
        <v>37</v>
      </c>
      <c r="D21" s="46">
        <v>100</v>
      </c>
      <c r="E21" s="37">
        <f t="shared" si="4"/>
        <v>1366</v>
      </c>
      <c r="F21" s="47">
        <v>683</v>
      </c>
      <c r="H21" s="46">
        <v>100</v>
      </c>
      <c r="I21" s="57">
        <v>0</v>
      </c>
      <c r="J21" s="35">
        <v>78</v>
      </c>
      <c r="K21" s="10">
        <v>96</v>
      </c>
      <c r="L21" s="11">
        <v>115</v>
      </c>
      <c r="M21" s="12">
        <v>145</v>
      </c>
      <c r="N21" s="42">
        <v>174</v>
      </c>
      <c r="O21" s="78">
        <v>224</v>
      </c>
      <c r="P21" s="41"/>
      <c r="Q21" s="39"/>
      <c r="R21" s="39"/>
      <c r="S21" s="39"/>
    </row>
    <row r="22" spans="1:19" ht="21" customHeight="1" x14ac:dyDescent="0.15">
      <c r="A22" s="31">
        <v>9</v>
      </c>
      <c r="B22" s="27" t="s">
        <v>36</v>
      </c>
      <c r="D22" s="46">
        <v>150</v>
      </c>
      <c r="E22" s="37">
        <f t="shared" si="4"/>
        <v>1366</v>
      </c>
      <c r="F22" s="47">
        <v>683</v>
      </c>
      <c r="H22" s="46">
        <v>150</v>
      </c>
      <c r="I22" s="57">
        <v>0</v>
      </c>
      <c r="J22" s="35">
        <v>78</v>
      </c>
      <c r="K22" s="10">
        <v>96</v>
      </c>
      <c r="L22" s="11">
        <v>115</v>
      </c>
      <c r="M22" s="12">
        <v>145</v>
      </c>
      <c r="N22" s="42">
        <v>174</v>
      </c>
      <c r="O22" s="78">
        <v>224</v>
      </c>
      <c r="P22" s="41"/>
      <c r="Q22" s="39"/>
      <c r="R22" s="39"/>
      <c r="S22" s="39"/>
    </row>
    <row r="23" spans="1:19" ht="21" customHeight="1" x14ac:dyDescent="0.15">
      <c r="A23" s="31">
        <v>10</v>
      </c>
      <c r="B23" s="27" t="s">
        <v>36</v>
      </c>
      <c r="D23" s="46">
        <v>200</v>
      </c>
      <c r="E23" s="37">
        <f t="shared" si="4"/>
        <v>1366</v>
      </c>
      <c r="F23" s="47">
        <v>683</v>
      </c>
      <c r="H23" s="46">
        <v>200</v>
      </c>
      <c r="I23" s="57">
        <v>0</v>
      </c>
      <c r="J23" s="35">
        <v>78</v>
      </c>
      <c r="K23" s="10">
        <v>96</v>
      </c>
      <c r="L23" s="11">
        <v>115</v>
      </c>
      <c r="M23" s="12">
        <v>145</v>
      </c>
      <c r="N23" s="42">
        <v>174</v>
      </c>
      <c r="O23" s="78">
        <v>224</v>
      </c>
      <c r="P23" s="41"/>
      <c r="Q23" s="39"/>
      <c r="R23" s="39"/>
      <c r="S23" s="39"/>
    </row>
    <row r="24" spans="1:19" ht="21" customHeight="1" thickBot="1" x14ac:dyDescent="0.2">
      <c r="A24" s="31">
        <v>11</v>
      </c>
      <c r="B24" s="38" t="s">
        <v>36</v>
      </c>
      <c r="D24" s="48">
        <v>250</v>
      </c>
      <c r="E24" s="49">
        <f t="shared" si="4"/>
        <v>1366</v>
      </c>
      <c r="F24" s="50">
        <v>683</v>
      </c>
      <c r="H24" s="48">
        <v>250</v>
      </c>
      <c r="I24" s="86">
        <v>0</v>
      </c>
      <c r="J24" s="36">
        <v>78</v>
      </c>
      <c r="K24" s="13">
        <v>96</v>
      </c>
      <c r="L24" s="14">
        <v>115</v>
      </c>
      <c r="M24" s="55">
        <v>145</v>
      </c>
      <c r="N24" s="56">
        <v>174</v>
      </c>
      <c r="O24" s="79">
        <v>224</v>
      </c>
      <c r="P24" s="41"/>
      <c r="Q24" s="39"/>
      <c r="R24" s="39"/>
      <c r="S24" s="39"/>
    </row>
    <row r="25" spans="1:19" ht="21" customHeight="1" thickTop="1" x14ac:dyDescent="0.15"/>
    <row r="26" spans="1:19" ht="21" customHeight="1" x14ac:dyDescent="0.15"/>
    <row r="27" spans="1:19" ht="21" customHeight="1" x14ac:dyDescent="0.15"/>
    <row r="28" spans="1:19" ht="21" customHeight="1" x14ac:dyDescent="0.15"/>
  </sheetData>
  <sheetProtection algorithmName="SHA-512" hashValue="q0faf383F25cIuG2/h2+2ZYqzHLVW0MQmvEh5U7uDiexxyHDYUl+tzDn8I8eeeO4CT/RYOs7QQHD8pRIAzP2jA==" saltValue="e3PPuh190gj2OkEFiOJMiA==" spinCount="100000" sheet="1" selectLockedCells="1"/>
  <phoneticPr fontId="1"/>
  <dataValidations count="2">
    <dataValidation imeMode="off" allowBlank="1" showInputMessage="1" showErrorMessage="1" sqref="B5:B8 B14:B24 F14:F24 I14:S24" xr:uid="{00000000-0002-0000-0100-000000000000}"/>
    <dataValidation type="list" imeMode="off" allowBlank="1" showInputMessage="1" showErrorMessage="1" sqref="B4" xr:uid="{00000000-0002-0000-0100-000001000000}">
      <formula1>$D$14:$D$24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8"/>
  <sheetViews>
    <sheetView topLeftCell="T1" zoomScale="85" zoomScaleNormal="85" workbookViewId="0">
      <selection sqref="A1:S1048576"/>
    </sheetView>
  </sheetViews>
  <sheetFormatPr defaultColWidth="8.5" defaultRowHeight="13.5" x14ac:dyDescent="0.15"/>
  <cols>
    <col min="1" max="1" width="8.5" style="1" hidden="1" customWidth="1"/>
    <col min="2" max="19" width="8.5" hidden="1" customWidth="1"/>
  </cols>
  <sheetData>
    <row r="1" spans="1:19" ht="21" customHeight="1" x14ac:dyDescent="0.15">
      <c r="A1" s="23" t="s">
        <v>41</v>
      </c>
    </row>
    <row r="2" spans="1:19" ht="21" customHeight="1" x14ac:dyDescent="0.15"/>
    <row r="3" spans="1:19" ht="21" customHeight="1" thickBot="1" x14ac:dyDescent="0.2">
      <c r="A3" s="18" t="s">
        <v>28</v>
      </c>
      <c r="D3" s="19" t="s">
        <v>27</v>
      </c>
      <c r="H3" s="18" t="s">
        <v>30</v>
      </c>
    </row>
    <row r="4" spans="1:19" ht="21" customHeight="1" thickTop="1" x14ac:dyDescent="0.15">
      <c r="A4" s="6" t="s">
        <v>6</v>
      </c>
      <c r="B4" s="24">
        <f>令和2年4月分計算フォーム!C3</f>
        <v>20</v>
      </c>
      <c r="D4" s="2" t="s">
        <v>0</v>
      </c>
      <c r="E4" s="3">
        <f>SUM(I9:P9)</f>
        <v>0</v>
      </c>
      <c r="H4" s="2" t="s">
        <v>10</v>
      </c>
      <c r="I4" s="17">
        <v>1</v>
      </c>
      <c r="J4" s="17">
        <v>2</v>
      </c>
      <c r="K4" s="17">
        <v>3</v>
      </c>
      <c r="L4" s="17">
        <v>4</v>
      </c>
      <c r="M4" s="17">
        <v>5</v>
      </c>
      <c r="N4" s="17">
        <v>6</v>
      </c>
      <c r="O4" s="17">
        <v>7</v>
      </c>
      <c r="P4" s="17">
        <v>8</v>
      </c>
      <c r="Q4" s="17">
        <v>9</v>
      </c>
      <c r="R4" s="17">
        <v>10</v>
      </c>
      <c r="S4" s="17">
        <v>11</v>
      </c>
    </row>
    <row r="5" spans="1:19" ht="21" customHeight="1" x14ac:dyDescent="0.15">
      <c r="A5" s="6" t="s">
        <v>7</v>
      </c>
      <c r="B5" s="27">
        <f>令和2年4月分計算フォーム!C6</f>
        <v>0</v>
      </c>
      <c r="D5" s="2" t="s">
        <v>1</v>
      </c>
      <c r="E5" s="3">
        <f>IF($B$4="",0,VLOOKUP(B4,D14:E24,2)*B6)</f>
        <v>1560</v>
      </c>
      <c r="H5" s="2" t="s">
        <v>29</v>
      </c>
      <c r="I5" s="3">
        <f>IF(I6="","",B5)</f>
        <v>0</v>
      </c>
      <c r="J5" s="3">
        <f>IF(J6="","",I5-I7)</f>
        <v>0</v>
      </c>
      <c r="K5" s="3">
        <f t="shared" ref="K5:S5" si="0">IF(K6="","",J5-J7)</f>
        <v>0</v>
      </c>
      <c r="L5" s="3">
        <f t="shared" si="0"/>
        <v>0</v>
      </c>
      <c r="M5" s="3">
        <f t="shared" si="0"/>
        <v>0</v>
      </c>
      <c r="N5" s="3">
        <f t="shared" si="0"/>
        <v>0</v>
      </c>
      <c r="O5" s="3">
        <f t="shared" si="0"/>
        <v>0</v>
      </c>
      <c r="P5" s="3" t="str">
        <f t="shared" si="0"/>
        <v/>
      </c>
      <c r="Q5" s="3" t="str">
        <f t="shared" si="0"/>
        <v/>
      </c>
      <c r="R5" s="3" t="str">
        <f t="shared" si="0"/>
        <v/>
      </c>
      <c r="S5" s="3" t="str">
        <f t="shared" si="0"/>
        <v/>
      </c>
    </row>
    <row r="6" spans="1:19" ht="21" customHeight="1" thickBot="1" x14ac:dyDescent="0.2">
      <c r="A6" s="6" t="s">
        <v>15</v>
      </c>
      <c r="B6" s="58">
        <v>1</v>
      </c>
      <c r="D6" s="2" t="s">
        <v>2</v>
      </c>
      <c r="E6" s="20">
        <f>B8</f>
        <v>1.1000000000000001</v>
      </c>
      <c r="H6" s="61" t="s">
        <v>11</v>
      </c>
      <c r="I6" s="62">
        <f>IF(VLOOKUP(I4,$A$14:$B$24,2)=0,999999,IF(VLOOKUP(I4,$A$14:$B$24,2)="-","",(VLOOKUP(I4,$A$14:$B$24,2)*2*$B$6)))</f>
        <v>12</v>
      </c>
      <c r="J6" s="62">
        <f>IF(VLOOKUP(J4,$A$14:$B$24,2)=0,999999,IF(VLOOKUP(J4,$A$14:$B$24,2)="-","",(VLOOKUP(J4,$A$14:$B$24,2)*2*$B$6-VLOOKUP(I4,$A$14:$B$24,2)*2*$B$6)))</f>
        <v>8</v>
      </c>
      <c r="K6" s="62">
        <f>IF(VLOOKUP(K4,$A$14:$B$24,2)=0,999999,IF(VLOOKUP(K4,$A$14:$B$24,2)="-","",(VLOOKUP(K4,$A$14:$B$24,2)*2*$B$6-VLOOKUP(J4,$A$14:$B$24,2)*2*$B$6)))</f>
        <v>20</v>
      </c>
      <c r="L6" s="62">
        <f t="shared" ref="L6:S6" si="1">IF(VLOOKUP(L4,$A$14:$B$24,2)=0,999999,IF(VLOOKUP(L4,$A$14:$B$24,2)="-","",(VLOOKUP(L4,$A$14:$B$24,2)*2*$B$6-VLOOKUP(K4,$A$14:$B$24,2)*2*$B$6)))</f>
        <v>20</v>
      </c>
      <c r="M6" s="62">
        <f t="shared" si="1"/>
        <v>40</v>
      </c>
      <c r="N6" s="62">
        <f t="shared" si="1"/>
        <v>500</v>
      </c>
      <c r="O6" s="62">
        <f t="shared" si="1"/>
        <v>999999</v>
      </c>
      <c r="P6" s="3" t="str">
        <f t="shared" si="1"/>
        <v/>
      </c>
      <c r="Q6" s="3" t="str">
        <f t="shared" si="1"/>
        <v/>
      </c>
      <c r="R6" s="3" t="str">
        <f t="shared" si="1"/>
        <v/>
      </c>
      <c r="S6" s="3" t="str">
        <f t="shared" si="1"/>
        <v/>
      </c>
    </row>
    <row r="7" spans="1:19" ht="21" customHeight="1" thickTop="1" x14ac:dyDescent="0.15">
      <c r="A7" s="6" t="s">
        <v>14</v>
      </c>
      <c r="B7" s="25">
        <v>0</v>
      </c>
      <c r="D7" s="2" t="s">
        <v>4</v>
      </c>
      <c r="E7" s="3">
        <f>ROUNDDOWN((E4+E5)*E6,0)</f>
        <v>1716</v>
      </c>
      <c r="H7" s="63" t="s">
        <v>12</v>
      </c>
      <c r="I7" s="64">
        <f>IF(I5&gt;I6,I6,I5)</f>
        <v>0</v>
      </c>
      <c r="J7" s="64">
        <f t="shared" ref="J7:S7" si="2">IF(J5&gt;J6,J6,J5)</f>
        <v>0</v>
      </c>
      <c r="K7" s="64">
        <f t="shared" si="2"/>
        <v>0</v>
      </c>
      <c r="L7" s="64">
        <f t="shared" si="2"/>
        <v>0</v>
      </c>
      <c r="M7" s="64">
        <f t="shared" si="2"/>
        <v>0</v>
      </c>
      <c r="N7" s="64">
        <f t="shared" si="2"/>
        <v>0</v>
      </c>
      <c r="O7" s="65">
        <f t="shared" si="2"/>
        <v>0</v>
      </c>
      <c r="P7" s="59" t="str">
        <f t="shared" si="2"/>
        <v/>
      </c>
      <c r="Q7" s="3" t="str">
        <f t="shared" si="2"/>
        <v/>
      </c>
      <c r="R7" s="3" t="str">
        <f t="shared" si="2"/>
        <v/>
      </c>
      <c r="S7" s="3" t="str">
        <f t="shared" si="2"/>
        <v/>
      </c>
    </row>
    <row r="8" spans="1:19" ht="21" customHeight="1" thickBot="1" x14ac:dyDescent="0.2">
      <c r="A8" s="7" t="s">
        <v>2</v>
      </c>
      <c r="B8" s="26">
        <v>1.1000000000000001</v>
      </c>
      <c r="D8" s="2" t="s">
        <v>5</v>
      </c>
      <c r="E8" s="21">
        <f>B7</f>
        <v>0</v>
      </c>
      <c r="H8" s="66" t="s">
        <v>13</v>
      </c>
      <c r="I8" s="3">
        <f>IF(I7="","",IF($B$4="","",VLOOKUP($B$4,$H$14:$S$24,2)))</f>
        <v>0</v>
      </c>
      <c r="J8" s="3">
        <f>IF(J7="","",IF($B$4="","",VLOOKUP($B$4,$H$14:$S$24,3)))</f>
        <v>40</v>
      </c>
      <c r="K8" s="3">
        <f>IF(K7="","",IF($B$4="","",VLOOKUP($B$4,$H$14:$S$24,4)))</f>
        <v>120</v>
      </c>
      <c r="L8" s="3">
        <f>IF(L7="","",IF($B$4="","",VLOOKUP($B$4,$H$14:$S$24,5)))</f>
        <v>180</v>
      </c>
      <c r="M8" s="3">
        <f>IF(M7="","",IF($B$4="","",VLOOKUP($B$4,$H$14:$S$24,6)))</f>
        <v>230</v>
      </c>
      <c r="N8" s="3">
        <f>IF(N7="","",IF($B$4="","",VLOOKUP($B$4,$H$14:$S$24,7)))</f>
        <v>270</v>
      </c>
      <c r="O8" s="67">
        <f>IF(O7="","",IF($B$4="","",VLOOKUP($B$4,$H$14:$S$24,8)))</f>
        <v>310</v>
      </c>
      <c r="P8" s="59" t="str">
        <f>IF(P7="","",IF($B$4="","",VLOOKUP($B$4,$H$14:$S$24,9)))</f>
        <v/>
      </c>
      <c r="Q8" s="3" t="str">
        <f>IF(Q7="","",IF($B$4="","",VLOOKUP($B$4,$H$14:$S$24,10)))</f>
        <v/>
      </c>
      <c r="R8" s="3" t="str">
        <f>IF(R7="","",IF($B$4="","",VLOOKUP($B$4,$H$14:$S$24,11)))</f>
        <v/>
      </c>
      <c r="S8" s="3" t="str">
        <f>IF(S7="","",IF($B$4="","",VLOOKUP($B$4,$H$14:$S$24,12)))</f>
        <v/>
      </c>
    </row>
    <row r="9" spans="1:19" ht="21" customHeight="1" thickTop="1" thickBot="1" x14ac:dyDescent="0.2">
      <c r="D9" s="4" t="s">
        <v>3</v>
      </c>
      <c r="E9" s="5">
        <f>E7-E8</f>
        <v>1716</v>
      </c>
      <c r="H9" s="68" t="s">
        <v>16</v>
      </c>
      <c r="I9" s="69">
        <f>IF(I8="","",I7*I8)</f>
        <v>0</v>
      </c>
      <c r="J9" s="69">
        <f t="shared" ref="J9:S9" si="3">IF(J8="","",J7*J8)</f>
        <v>0</v>
      </c>
      <c r="K9" s="69">
        <f t="shared" si="3"/>
        <v>0</v>
      </c>
      <c r="L9" s="69">
        <f t="shared" si="3"/>
        <v>0</v>
      </c>
      <c r="M9" s="69">
        <f t="shared" si="3"/>
        <v>0</v>
      </c>
      <c r="N9" s="69">
        <f t="shared" si="3"/>
        <v>0</v>
      </c>
      <c r="O9" s="70">
        <f t="shared" si="3"/>
        <v>0</v>
      </c>
      <c r="P9" s="60" t="str">
        <f t="shared" si="3"/>
        <v/>
      </c>
      <c r="Q9" s="5" t="str">
        <f t="shared" si="3"/>
        <v/>
      </c>
      <c r="R9" s="5" t="str">
        <f t="shared" si="3"/>
        <v/>
      </c>
      <c r="S9" s="5" t="str">
        <f t="shared" si="3"/>
        <v/>
      </c>
    </row>
    <row r="10" spans="1:19" ht="21" customHeight="1" thickTop="1" x14ac:dyDescent="0.15"/>
    <row r="11" spans="1:19" ht="21" customHeight="1" x14ac:dyDescent="0.15"/>
    <row r="12" spans="1:19" ht="21" customHeight="1" x14ac:dyDescent="0.15">
      <c r="A12" s="18" t="s">
        <v>26</v>
      </c>
      <c r="D12" s="18" t="s">
        <v>35</v>
      </c>
      <c r="I12" s="18" t="s">
        <v>34</v>
      </c>
    </row>
    <row r="13" spans="1:19" ht="21" customHeight="1" thickBot="1" x14ac:dyDescent="0.2">
      <c r="A13" s="28" t="s">
        <v>10</v>
      </c>
      <c r="B13" s="29" t="s">
        <v>25</v>
      </c>
      <c r="D13" s="40" t="s">
        <v>6</v>
      </c>
      <c r="E13" s="40" t="s">
        <v>8</v>
      </c>
      <c r="F13" s="22" t="s">
        <v>9</v>
      </c>
      <c r="H13" s="40" t="s">
        <v>6</v>
      </c>
      <c r="I13" s="22" t="s">
        <v>17</v>
      </c>
      <c r="J13" s="22" t="s">
        <v>18</v>
      </c>
      <c r="K13" s="22" t="s">
        <v>19</v>
      </c>
      <c r="L13" s="22" t="s">
        <v>20</v>
      </c>
      <c r="M13" s="22" t="s">
        <v>21</v>
      </c>
      <c r="N13" s="22" t="s">
        <v>22</v>
      </c>
      <c r="O13" s="22" t="s">
        <v>23</v>
      </c>
      <c r="P13" s="22" t="s">
        <v>24</v>
      </c>
      <c r="Q13" s="22" t="s">
        <v>31</v>
      </c>
      <c r="R13" s="22" t="s">
        <v>32</v>
      </c>
      <c r="S13" s="22" t="s">
        <v>33</v>
      </c>
    </row>
    <row r="14" spans="1:19" ht="21" customHeight="1" thickTop="1" x14ac:dyDescent="0.15">
      <c r="A14" s="31">
        <v>1</v>
      </c>
      <c r="B14" s="30">
        <v>6</v>
      </c>
      <c r="D14" s="43">
        <v>13</v>
      </c>
      <c r="E14" s="44">
        <f>F14*2</f>
        <v>1420</v>
      </c>
      <c r="F14" s="45">
        <v>710</v>
      </c>
      <c r="H14" s="43">
        <v>13</v>
      </c>
      <c r="I14" s="34">
        <v>0</v>
      </c>
      <c r="J14" s="8">
        <v>40</v>
      </c>
      <c r="K14" s="9">
        <v>120</v>
      </c>
      <c r="L14" s="51">
        <v>180</v>
      </c>
      <c r="M14" s="52">
        <v>230</v>
      </c>
      <c r="N14" s="53">
        <v>270</v>
      </c>
      <c r="O14" s="54">
        <v>310</v>
      </c>
      <c r="P14" s="41"/>
      <c r="Q14" s="39"/>
      <c r="R14" s="39"/>
      <c r="S14" s="39"/>
    </row>
    <row r="15" spans="1:19" ht="21" customHeight="1" x14ac:dyDescent="0.15">
      <c r="A15" s="31">
        <v>2</v>
      </c>
      <c r="B15" s="27">
        <v>10</v>
      </c>
      <c r="D15" s="46">
        <v>20</v>
      </c>
      <c r="E15" s="37">
        <f t="shared" ref="E15:E24" si="4">F15*2</f>
        <v>1560</v>
      </c>
      <c r="F15" s="47">
        <v>780</v>
      </c>
      <c r="H15" s="46">
        <v>20</v>
      </c>
      <c r="I15" s="35">
        <v>0</v>
      </c>
      <c r="J15" s="10">
        <v>40</v>
      </c>
      <c r="K15" s="11">
        <v>120</v>
      </c>
      <c r="L15" s="12">
        <v>180</v>
      </c>
      <c r="M15" s="42">
        <v>230</v>
      </c>
      <c r="N15" s="15">
        <v>270</v>
      </c>
      <c r="O15" s="32">
        <v>310</v>
      </c>
      <c r="P15" s="41"/>
      <c r="Q15" s="39"/>
      <c r="R15" s="39"/>
      <c r="S15" s="39"/>
    </row>
    <row r="16" spans="1:19" ht="21" customHeight="1" thickBot="1" x14ac:dyDescent="0.2">
      <c r="A16" s="31">
        <v>3</v>
      </c>
      <c r="B16" s="27">
        <v>20</v>
      </c>
      <c r="D16" s="48">
        <v>25</v>
      </c>
      <c r="E16" s="49">
        <f t="shared" si="4"/>
        <v>1980</v>
      </c>
      <c r="F16" s="50">
        <v>990</v>
      </c>
      <c r="H16" s="48">
        <v>25</v>
      </c>
      <c r="I16" s="36">
        <v>0</v>
      </c>
      <c r="J16" s="13">
        <v>40</v>
      </c>
      <c r="K16" s="14">
        <v>120</v>
      </c>
      <c r="L16" s="55">
        <v>180</v>
      </c>
      <c r="M16" s="56">
        <v>230</v>
      </c>
      <c r="N16" s="16">
        <v>270</v>
      </c>
      <c r="O16" s="33">
        <v>310</v>
      </c>
      <c r="P16" s="41"/>
      <c r="Q16" s="39"/>
      <c r="R16" s="39"/>
      <c r="S16" s="39"/>
    </row>
    <row r="17" spans="1:19" ht="21" customHeight="1" thickTop="1" x14ac:dyDescent="0.15">
      <c r="A17" s="31">
        <v>4</v>
      </c>
      <c r="B17" s="27">
        <v>30</v>
      </c>
      <c r="D17" s="43">
        <v>30</v>
      </c>
      <c r="E17" s="44">
        <f t="shared" si="4"/>
        <v>2400</v>
      </c>
      <c r="F17" s="45">
        <v>1200</v>
      </c>
      <c r="H17" s="43">
        <v>30</v>
      </c>
      <c r="I17" s="8">
        <v>40</v>
      </c>
      <c r="J17" s="8">
        <v>40</v>
      </c>
      <c r="K17" s="51">
        <v>180</v>
      </c>
      <c r="L17" s="51">
        <v>180</v>
      </c>
      <c r="M17" s="52">
        <v>230</v>
      </c>
      <c r="N17" s="53">
        <v>270</v>
      </c>
      <c r="O17" s="54">
        <v>310</v>
      </c>
      <c r="P17" s="41"/>
      <c r="Q17" s="39"/>
      <c r="R17" s="39"/>
      <c r="S17" s="39"/>
    </row>
    <row r="18" spans="1:19" ht="21" customHeight="1" x14ac:dyDescent="0.15">
      <c r="A18" s="31">
        <v>5</v>
      </c>
      <c r="B18" s="27">
        <v>50</v>
      </c>
      <c r="D18" s="46">
        <v>40</v>
      </c>
      <c r="E18" s="37">
        <f t="shared" si="4"/>
        <v>4200</v>
      </c>
      <c r="F18" s="47">
        <v>2100</v>
      </c>
      <c r="H18" s="46">
        <v>40</v>
      </c>
      <c r="I18" s="10">
        <v>40</v>
      </c>
      <c r="J18" s="10">
        <v>40</v>
      </c>
      <c r="K18" s="12">
        <v>180</v>
      </c>
      <c r="L18" s="12">
        <v>180</v>
      </c>
      <c r="M18" s="42">
        <v>230</v>
      </c>
      <c r="N18" s="15">
        <v>270</v>
      </c>
      <c r="O18" s="32">
        <v>310</v>
      </c>
      <c r="P18" s="41"/>
      <c r="Q18" s="39"/>
      <c r="R18" s="39"/>
      <c r="S18" s="39"/>
    </row>
    <row r="19" spans="1:19" ht="21" customHeight="1" thickBot="1" x14ac:dyDescent="0.2">
      <c r="A19" s="31">
        <v>6</v>
      </c>
      <c r="B19" s="27">
        <v>300</v>
      </c>
      <c r="D19" s="48">
        <v>50</v>
      </c>
      <c r="E19" s="49">
        <f t="shared" si="4"/>
        <v>7600</v>
      </c>
      <c r="F19" s="50">
        <v>3800</v>
      </c>
      <c r="H19" s="48">
        <v>50</v>
      </c>
      <c r="I19" s="13">
        <v>40</v>
      </c>
      <c r="J19" s="13">
        <v>40</v>
      </c>
      <c r="K19" s="55">
        <v>180</v>
      </c>
      <c r="L19" s="55">
        <v>180</v>
      </c>
      <c r="M19" s="56">
        <v>230</v>
      </c>
      <c r="N19" s="16">
        <v>270</v>
      </c>
      <c r="O19" s="33">
        <v>310</v>
      </c>
      <c r="P19" s="41"/>
      <c r="Q19" s="39"/>
      <c r="R19" s="39"/>
      <c r="S19" s="39"/>
    </row>
    <row r="20" spans="1:19" ht="21" customHeight="1" thickTop="1" x14ac:dyDescent="0.15">
      <c r="A20" s="31">
        <v>7</v>
      </c>
      <c r="B20" s="27">
        <v>0</v>
      </c>
      <c r="D20" s="43">
        <v>75</v>
      </c>
      <c r="E20" s="44">
        <f t="shared" si="4"/>
        <v>18000</v>
      </c>
      <c r="F20" s="45">
        <v>9000</v>
      </c>
      <c r="H20" s="43">
        <v>75</v>
      </c>
      <c r="I20" s="8">
        <v>40</v>
      </c>
      <c r="J20" s="8">
        <v>40</v>
      </c>
      <c r="K20" s="51">
        <v>180</v>
      </c>
      <c r="L20" s="51">
        <v>180</v>
      </c>
      <c r="M20" s="53">
        <v>270</v>
      </c>
      <c r="N20" s="53">
        <v>270</v>
      </c>
      <c r="O20" s="54">
        <v>310</v>
      </c>
      <c r="P20" s="41"/>
      <c r="Q20" s="39"/>
      <c r="R20" s="39"/>
      <c r="S20" s="39"/>
    </row>
    <row r="21" spans="1:19" ht="21" customHeight="1" x14ac:dyDescent="0.15">
      <c r="A21" s="31">
        <v>8</v>
      </c>
      <c r="B21" s="27" t="s">
        <v>36</v>
      </c>
      <c r="D21" s="46">
        <v>100</v>
      </c>
      <c r="E21" s="37">
        <f t="shared" si="4"/>
        <v>48000</v>
      </c>
      <c r="F21" s="47">
        <v>24000</v>
      </c>
      <c r="H21" s="46">
        <v>100</v>
      </c>
      <c r="I21" s="10">
        <v>40</v>
      </c>
      <c r="J21" s="10">
        <v>40</v>
      </c>
      <c r="K21" s="12">
        <v>180</v>
      </c>
      <c r="L21" s="12">
        <v>180</v>
      </c>
      <c r="M21" s="15">
        <v>270</v>
      </c>
      <c r="N21" s="15">
        <v>270</v>
      </c>
      <c r="O21" s="32">
        <v>310</v>
      </c>
      <c r="P21" s="41"/>
      <c r="Q21" s="39"/>
      <c r="R21" s="39"/>
      <c r="S21" s="39"/>
    </row>
    <row r="22" spans="1:19" ht="21" customHeight="1" x14ac:dyDescent="0.15">
      <c r="A22" s="31">
        <v>9</v>
      </c>
      <c r="B22" s="27" t="s">
        <v>36</v>
      </c>
      <c r="D22" s="46">
        <v>150</v>
      </c>
      <c r="E22" s="37">
        <f t="shared" si="4"/>
        <v>194000</v>
      </c>
      <c r="F22" s="47">
        <v>97000</v>
      </c>
      <c r="H22" s="46">
        <v>150</v>
      </c>
      <c r="I22" s="10">
        <v>40</v>
      </c>
      <c r="J22" s="10">
        <v>40</v>
      </c>
      <c r="K22" s="12">
        <v>180</v>
      </c>
      <c r="L22" s="12">
        <v>180</v>
      </c>
      <c r="M22" s="15">
        <v>270</v>
      </c>
      <c r="N22" s="15">
        <v>270</v>
      </c>
      <c r="O22" s="32">
        <v>310</v>
      </c>
      <c r="P22" s="41"/>
      <c r="Q22" s="39"/>
      <c r="R22" s="39"/>
      <c r="S22" s="39"/>
    </row>
    <row r="23" spans="1:19" ht="21" customHeight="1" x14ac:dyDescent="0.15">
      <c r="A23" s="31">
        <v>10</v>
      </c>
      <c r="B23" s="27" t="s">
        <v>36</v>
      </c>
      <c r="D23" s="46">
        <v>200</v>
      </c>
      <c r="E23" s="37">
        <f t="shared" si="4"/>
        <v>432000</v>
      </c>
      <c r="F23" s="47">
        <v>216000</v>
      </c>
      <c r="H23" s="46">
        <v>200</v>
      </c>
      <c r="I23" s="10">
        <v>40</v>
      </c>
      <c r="J23" s="10">
        <v>40</v>
      </c>
      <c r="K23" s="12">
        <v>180</v>
      </c>
      <c r="L23" s="12">
        <v>180</v>
      </c>
      <c r="M23" s="15">
        <v>270</v>
      </c>
      <c r="N23" s="15">
        <v>270</v>
      </c>
      <c r="O23" s="32">
        <v>310</v>
      </c>
      <c r="P23" s="41"/>
      <c r="Q23" s="39"/>
      <c r="R23" s="39"/>
      <c r="S23" s="39"/>
    </row>
    <row r="24" spans="1:19" ht="21" customHeight="1" thickBot="1" x14ac:dyDescent="0.2">
      <c r="A24" s="31">
        <v>11</v>
      </c>
      <c r="B24" s="38" t="s">
        <v>36</v>
      </c>
      <c r="D24" s="48">
        <v>250</v>
      </c>
      <c r="E24" s="49">
        <f t="shared" si="4"/>
        <v>788000</v>
      </c>
      <c r="F24" s="50">
        <v>394000</v>
      </c>
      <c r="H24" s="48">
        <v>250</v>
      </c>
      <c r="I24" s="13">
        <v>40</v>
      </c>
      <c r="J24" s="13">
        <v>40</v>
      </c>
      <c r="K24" s="55">
        <v>180</v>
      </c>
      <c r="L24" s="55">
        <v>180</v>
      </c>
      <c r="M24" s="16">
        <v>270</v>
      </c>
      <c r="N24" s="16">
        <v>270</v>
      </c>
      <c r="O24" s="33">
        <v>310</v>
      </c>
      <c r="P24" s="41"/>
      <c r="Q24" s="39"/>
      <c r="R24" s="39"/>
      <c r="S24" s="39"/>
    </row>
    <row r="25" spans="1:19" ht="21" customHeight="1" thickTop="1" x14ac:dyDescent="0.15"/>
    <row r="26" spans="1:19" ht="21" customHeight="1" x14ac:dyDescent="0.15"/>
    <row r="27" spans="1:19" ht="21" customHeight="1" x14ac:dyDescent="0.15"/>
    <row r="28" spans="1:19" ht="21" customHeight="1" x14ac:dyDescent="0.15"/>
  </sheetData>
  <sheetProtection algorithmName="SHA-512" hashValue="6MU9DnpSmJIuMyzxFVtc1fFyKWw0Aj4CybAFjmNYbU8Pi1MY9rPhIVgcnL+i4O4COX1Rj2Dbd6DxZfMay0Xiuw==" saltValue="ZY4CMm7Xxl4ZscQNQWlKtA==" spinCount="100000" sheet="1" selectLockedCells="1"/>
  <phoneticPr fontId="1"/>
  <dataValidations count="2">
    <dataValidation type="list" imeMode="off" allowBlank="1" showInputMessage="1" showErrorMessage="1" sqref="B4" xr:uid="{00000000-0002-0000-0200-000000000000}">
      <formula1>$D$14:$D$24</formula1>
    </dataValidation>
    <dataValidation imeMode="off" allowBlank="1" showInputMessage="1" showErrorMessage="1" sqref="B5:B8 B14:B24 F14:F24 I14:S24" xr:uid="{00000000-0002-0000-0200-000001000000}"/>
  </dataValidation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8"/>
  <sheetViews>
    <sheetView topLeftCell="T1" zoomScale="85" zoomScaleNormal="85" workbookViewId="0">
      <selection sqref="A1:S1048576"/>
    </sheetView>
  </sheetViews>
  <sheetFormatPr defaultColWidth="8.375" defaultRowHeight="13.5" x14ac:dyDescent="0.15"/>
  <cols>
    <col min="1" max="1" width="8.375" style="1" hidden="1" customWidth="1"/>
    <col min="2" max="19" width="8.375" hidden="1" customWidth="1"/>
  </cols>
  <sheetData>
    <row r="1" spans="1:19" ht="21" customHeight="1" x14ac:dyDescent="0.15">
      <c r="A1" s="23" t="s">
        <v>40</v>
      </c>
    </row>
    <row r="2" spans="1:19" ht="21" customHeight="1" x14ac:dyDescent="0.15"/>
    <row r="3" spans="1:19" ht="21" customHeight="1" thickBot="1" x14ac:dyDescent="0.2">
      <c r="A3" s="18" t="s">
        <v>28</v>
      </c>
      <c r="D3" s="19" t="s">
        <v>27</v>
      </c>
      <c r="H3" s="18" t="s">
        <v>30</v>
      </c>
    </row>
    <row r="4" spans="1:19" ht="21" customHeight="1" thickTop="1" x14ac:dyDescent="0.15">
      <c r="A4" s="6" t="s">
        <v>6</v>
      </c>
      <c r="B4" s="24">
        <f>令和2年4月分計算フォーム!C3</f>
        <v>20</v>
      </c>
      <c r="D4" s="2" t="s">
        <v>0</v>
      </c>
      <c r="E4" s="3">
        <f>SUM(I9:P9)</f>
        <v>0</v>
      </c>
      <c r="H4" s="2" t="s">
        <v>10</v>
      </c>
      <c r="I4" s="17">
        <v>1</v>
      </c>
      <c r="J4" s="17">
        <v>2</v>
      </c>
      <c r="K4" s="17">
        <v>3</v>
      </c>
      <c r="L4" s="17">
        <v>4</v>
      </c>
      <c r="M4" s="17">
        <v>5</v>
      </c>
      <c r="N4" s="17">
        <v>6</v>
      </c>
      <c r="O4" s="17">
        <v>7</v>
      </c>
      <c r="P4" s="17">
        <v>8</v>
      </c>
      <c r="Q4" s="17">
        <v>9</v>
      </c>
      <c r="R4" s="17">
        <v>10</v>
      </c>
      <c r="S4" s="17">
        <v>11</v>
      </c>
    </row>
    <row r="5" spans="1:19" ht="21" customHeight="1" x14ac:dyDescent="0.15">
      <c r="A5" s="6" t="s">
        <v>7</v>
      </c>
      <c r="B5" s="27">
        <f>令和2年4月分計算フォーム!C6</f>
        <v>0</v>
      </c>
      <c r="D5" s="2" t="s">
        <v>1</v>
      </c>
      <c r="E5" s="3">
        <f>IF($B$4="",0,VLOOKUP(B4,D14:E24,2)*B6)</f>
        <v>1980</v>
      </c>
      <c r="H5" s="2" t="s">
        <v>29</v>
      </c>
      <c r="I5" s="3">
        <f>IF(I6="","",B5)</f>
        <v>0</v>
      </c>
      <c r="J5" s="3">
        <f>IF(J6="","",I5-I7)</f>
        <v>0</v>
      </c>
      <c r="K5" s="3">
        <f t="shared" ref="K5:S5" si="0">IF(K6="","",J5-J7)</f>
        <v>0</v>
      </c>
      <c r="L5" s="3">
        <f t="shared" si="0"/>
        <v>0</v>
      </c>
      <c r="M5" s="3">
        <f t="shared" si="0"/>
        <v>0</v>
      </c>
      <c r="N5" s="3">
        <f t="shared" si="0"/>
        <v>0</v>
      </c>
      <c r="O5" s="3">
        <f t="shared" si="0"/>
        <v>0</v>
      </c>
      <c r="P5" s="3" t="str">
        <f t="shared" si="0"/>
        <v/>
      </c>
      <c r="Q5" s="3" t="str">
        <f t="shared" si="0"/>
        <v/>
      </c>
      <c r="R5" s="3" t="str">
        <f t="shared" si="0"/>
        <v/>
      </c>
      <c r="S5" s="3" t="str">
        <f t="shared" si="0"/>
        <v/>
      </c>
    </row>
    <row r="6" spans="1:19" ht="21" customHeight="1" thickBot="1" x14ac:dyDescent="0.2">
      <c r="A6" s="6" t="s">
        <v>15</v>
      </c>
      <c r="B6" s="58">
        <v>1</v>
      </c>
      <c r="D6" s="2" t="s">
        <v>2</v>
      </c>
      <c r="E6" s="20">
        <f>B8</f>
        <v>1.1000000000000001</v>
      </c>
      <c r="H6" s="61" t="s">
        <v>11</v>
      </c>
      <c r="I6" s="62">
        <f>IF(VLOOKUP(I4,$A$14:$B$24,2)=0,999999,IF(VLOOKUP(I4,$A$14:$B$24,2)="-","",(VLOOKUP(I4,$A$14:$B$24,2)*2*$B$6)))</f>
        <v>12</v>
      </c>
      <c r="J6" s="62">
        <f>IF(VLOOKUP(J4,$A$14:$B$24,2)=0,999999,IF(VLOOKUP(J4,$A$14:$B$24,2)="-","",(VLOOKUP(J4,$A$14:$B$24,2)*2*$B$6-VLOOKUP(I4,$A$14:$B$24,2)*2*$B$6)))</f>
        <v>8</v>
      </c>
      <c r="K6" s="62">
        <f>IF(VLOOKUP(K4,$A$14:$B$24,2)=0,999999,IF(VLOOKUP(K4,$A$14:$B$24,2)="-","",(VLOOKUP(K4,$A$14:$B$24,2)*2*$B$6-VLOOKUP(J4,$A$14:$B$24,2)*2*$B$6)))</f>
        <v>20</v>
      </c>
      <c r="L6" s="62">
        <f t="shared" ref="L6:S6" si="1">IF(VLOOKUP(L4,$A$14:$B$24,2)=0,999999,IF(VLOOKUP(L4,$A$14:$B$24,2)="-","",(VLOOKUP(L4,$A$14:$B$24,2)*2*$B$6-VLOOKUP(K4,$A$14:$B$24,2)*2*$B$6)))</f>
        <v>20</v>
      </c>
      <c r="M6" s="62">
        <f t="shared" si="1"/>
        <v>40</v>
      </c>
      <c r="N6" s="62">
        <f t="shared" si="1"/>
        <v>500</v>
      </c>
      <c r="O6" s="62">
        <f t="shared" si="1"/>
        <v>999999</v>
      </c>
      <c r="P6" s="3" t="str">
        <f t="shared" si="1"/>
        <v/>
      </c>
      <c r="Q6" s="3" t="str">
        <f t="shared" si="1"/>
        <v/>
      </c>
      <c r="R6" s="3" t="str">
        <f t="shared" si="1"/>
        <v/>
      </c>
      <c r="S6" s="3" t="str">
        <f t="shared" si="1"/>
        <v/>
      </c>
    </row>
    <row r="7" spans="1:19" ht="21" customHeight="1" thickTop="1" x14ac:dyDescent="0.15">
      <c r="A7" s="6" t="s">
        <v>14</v>
      </c>
      <c r="B7" s="25">
        <v>0</v>
      </c>
      <c r="D7" s="2" t="s">
        <v>4</v>
      </c>
      <c r="E7" s="3">
        <f>ROUNDDOWN((E4+E5)*E6,0)</f>
        <v>2178</v>
      </c>
      <c r="H7" s="63" t="s">
        <v>12</v>
      </c>
      <c r="I7" s="64">
        <f>IF(I5&gt;I6,I6,I5)</f>
        <v>0</v>
      </c>
      <c r="J7" s="64">
        <f t="shared" ref="J7:S7" si="2">IF(J5&gt;J6,J6,J5)</f>
        <v>0</v>
      </c>
      <c r="K7" s="64">
        <f t="shared" si="2"/>
        <v>0</v>
      </c>
      <c r="L7" s="64">
        <f t="shared" si="2"/>
        <v>0</v>
      </c>
      <c r="M7" s="64">
        <f t="shared" si="2"/>
        <v>0</v>
      </c>
      <c r="N7" s="64">
        <f t="shared" si="2"/>
        <v>0</v>
      </c>
      <c r="O7" s="65">
        <f t="shared" si="2"/>
        <v>0</v>
      </c>
      <c r="P7" s="59" t="str">
        <f t="shared" si="2"/>
        <v/>
      </c>
      <c r="Q7" s="3" t="str">
        <f t="shared" si="2"/>
        <v/>
      </c>
      <c r="R7" s="3" t="str">
        <f t="shared" si="2"/>
        <v/>
      </c>
      <c r="S7" s="3" t="str">
        <f t="shared" si="2"/>
        <v/>
      </c>
    </row>
    <row r="8" spans="1:19" ht="21" customHeight="1" thickBot="1" x14ac:dyDescent="0.2">
      <c r="A8" s="7" t="s">
        <v>2</v>
      </c>
      <c r="B8" s="26">
        <v>1.1000000000000001</v>
      </c>
      <c r="D8" s="2" t="s">
        <v>5</v>
      </c>
      <c r="E8" s="21">
        <f>B7</f>
        <v>0</v>
      </c>
      <c r="H8" s="66" t="s">
        <v>13</v>
      </c>
      <c r="I8" s="3">
        <f>IF(I7="","",IF($B$4="","",VLOOKUP($B$4,$H$14:$S$24,2)))</f>
        <v>0</v>
      </c>
      <c r="J8" s="3">
        <f>IF(J7="","",IF($B$4="","",VLOOKUP($B$4,$H$14:$S$24,3)))</f>
        <v>40</v>
      </c>
      <c r="K8" s="3">
        <f>IF(K7="","",IF($B$4="","",VLOOKUP($B$4,$H$14:$S$24,4)))</f>
        <v>140</v>
      </c>
      <c r="L8" s="3">
        <f>IF(L7="","",IF($B$4="","",VLOOKUP($B$4,$H$14:$S$24,5)))</f>
        <v>200</v>
      </c>
      <c r="M8" s="3">
        <f>IF(M7="","",IF($B$4="","",VLOOKUP($B$4,$H$14:$S$24,6)))</f>
        <v>250</v>
      </c>
      <c r="N8" s="3">
        <f>IF(N7="","",IF($B$4="","",VLOOKUP($B$4,$H$14:$S$24,7)))</f>
        <v>290</v>
      </c>
      <c r="O8" s="67">
        <f>IF(O7="","",IF($B$4="","",VLOOKUP($B$4,$H$14:$S$24,8)))</f>
        <v>330</v>
      </c>
      <c r="P8" s="59" t="str">
        <f>IF(P7="","",IF($B$4="","",VLOOKUP($B$4,$H$14:$S$24,9)))</f>
        <v/>
      </c>
      <c r="Q8" s="3" t="str">
        <f>IF(Q7="","",IF($B$4="","",VLOOKUP($B$4,$H$14:$S$24,10)))</f>
        <v/>
      </c>
      <c r="R8" s="3" t="str">
        <f>IF(R7="","",IF($B$4="","",VLOOKUP($B$4,$H$14:$S$24,11)))</f>
        <v/>
      </c>
      <c r="S8" s="3" t="str">
        <f>IF(S7="","",IF($B$4="","",VLOOKUP($B$4,$H$14:$S$24,12)))</f>
        <v/>
      </c>
    </row>
    <row r="9" spans="1:19" ht="21" customHeight="1" thickTop="1" thickBot="1" x14ac:dyDescent="0.2">
      <c r="D9" s="4" t="s">
        <v>3</v>
      </c>
      <c r="E9" s="5">
        <f>E7-E8</f>
        <v>2178</v>
      </c>
      <c r="H9" s="68" t="s">
        <v>16</v>
      </c>
      <c r="I9" s="69">
        <f>IF(I8="","",I7*I8)</f>
        <v>0</v>
      </c>
      <c r="J9" s="69">
        <f t="shared" ref="J9:S9" si="3">IF(J8="","",J7*J8)</f>
        <v>0</v>
      </c>
      <c r="K9" s="69">
        <f t="shared" si="3"/>
        <v>0</v>
      </c>
      <c r="L9" s="69">
        <f t="shared" si="3"/>
        <v>0</v>
      </c>
      <c r="M9" s="69">
        <f t="shared" si="3"/>
        <v>0</v>
      </c>
      <c r="N9" s="69">
        <f t="shared" si="3"/>
        <v>0</v>
      </c>
      <c r="O9" s="70">
        <f t="shared" si="3"/>
        <v>0</v>
      </c>
      <c r="P9" s="60" t="str">
        <f t="shared" si="3"/>
        <v/>
      </c>
      <c r="Q9" s="5" t="str">
        <f t="shared" si="3"/>
        <v/>
      </c>
      <c r="R9" s="5" t="str">
        <f t="shared" si="3"/>
        <v/>
      </c>
      <c r="S9" s="5" t="str">
        <f t="shared" si="3"/>
        <v/>
      </c>
    </row>
    <row r="10" spans="1:19" ht="21" customHeight="1" thickTop="1" x14ac:dyDescent="0.15"/>
    <row r="11" spans="1:19" ht="21" customHeight="1" x14ac:dyDescent="0.15"/>
    <row r="12" spans="1:19" ht="21" customHeight="1" x14ac:dyDescent="0.15">
      <c r="A12" s="18" t="s">
        <v>26</v>
      </c>
      <c r="D12" s="18" t="s">
        <v>35</v>
      </c>
      <c r="I12" s="18" t="s">
        <v>34</v>
      </c>
    </row>
    <row r="13" spans="1:19" ht="21" customHeight="1" thickBot="1" x14ac:dyDescent="0.2">
      <c r="A13" s="28" t="s">
        <v>10</v>
      </c>
      <c r="B13" s="29" t="s">
        <v>25</v>
      </c>
      <c r="D13" s="40" t="s">
        <v>6</v>
      </c>
      <c r="E13" s="40" t="s">
        <v>8</v>
      </c>
      <c r="F13" s="22" t="s">
        <v>9</v>
      </c>
      <c r="H13" s="40" t="s">
        <v>6</v>
      </c>
      <c r="I13" s="22" t="s">
        <v>17</v>
      </c>
      <c r="J13" s="22" t="s">
        <v>18</v>
      </c>
      <c r="K13" s="22" t="s">
        <v>19</v>
      </c>
      <c r="L13" s="22" t="s">
        <v>20</v>
      </c>
      <c r="M13" s="22" t="s">
        <v>21</v>
      </c>
      <c r="N13" s="22" t="s">
        <v>22</v>
      </c>
      <c r="O13" s="22" t="s">
        <v>23</v>
      </c>
      <c r="P13" s="22" t="s">
        <v>24</v>
      </c>
      <c r="Q13" s="22" t="s">
        <v>31</v>
      </c>
      <c r="R13" s="22" t="s">
        <v>32</v>
      </c>
      <c r="S13" s="22" t="s">
        <v>33</v>
      </c>
    </row>
    <row r="14" spans="1:19" ht="21" customHeight="1" thickTop="1" x14ac:dyDescent="0.15">
      <c r="A14" s="31">
        <v>1</v>
      </c>
      <c r="B14" s="30">
        <v>6</v>
      </c>
      <c r="D14" s="43">
        <v>13</v>
      </c>
      <c r="E14" s="44">
        <v>1800</v>
      </c>
      <c r="F14" s="45">
        <v>900</v>
      </c>
      <c r="H14" s="43">
        <v>13</v>
      </c>
      <c r="I14" s="34">
        <v>0</v>
      </c>
      <c r="J14" s="8">
        <v>40</v>
      </c>
      <c r="K14" s="9">
        <v>140</v>
      </c>
      <c r="L14" s="51">
        <v>200</v>
      </c>
      <c r="M14" s="52">
        <v>250</v>
      </c>
      <c r="N14" s="53">
        <v>290</v>
      </c>
      <c r="O14" s="54">
        <v>330</v>
      </c>
      <c r="P14" s="41"/>
      <c r="Q14" s="39"/>
      <c r="R14" s="39"/>
      <c r="S14" s="39"/>
    </row>
    <row r="15" spans="1:19" ht="21" customHeight="1" x14ac:dyDescent="0.15">
      <c r="A15" s="31">
        <v>2</v>
      </c>
      <c r="B15" s="27">
        <v>10</v>
      </c>
      <c r="D15" s="46">
        <v>20</v>
      </c>
      <c r="E15" s="37">
        <v>1980</v>
      </c>
      <c r="F15" s="47">
        <v>990</v>
      </c>
      <c r="H15" s="46">
        <v>20</v>
      </c>
      <c r="I15" s="35">
        <v>0</v>
      </c>
      <c r="J15" s="10">
        <v>40</v>
      </c>
      <c r="K15" s="11">
        <v>140</v>
      </c>
      <c r="L15" s="12">
        <v>200</v>
      </c>
      <c r="M15" s="42">
        <v>250</v>
      </c>
      <c r="N15" s="15">
        <v>290</v>
      </c>
      <c r="O15" s="32">
        <v>330</v>
      </c>
      <c r="P15" s="41"/>
      <c r="Q15" s="39"/>
      <c r="R15" s="39"/>
      <c r="S15" s="39"/>
    </row>
    <row r="16" spans="1:19" ht="21" customHeight="1" thickBot="1" x14ac:dyDescent="0.2">
      <c r="A16" s="31">
        <v>3</v>
      </c>
      <c r="B16" s="27">
        <v>20</v>
      </c>
      <c r="D16" s="48">
        <v>25</v>
      </c>
      <c r="E16" s="49">
        <v>2500</v>
      </c>
      <c r="F16" s="50">
        <v>1250</v>
      </c>
      <c r="H16" s="48">
        <v>25</v>
      </c>
      <c r="I16" s="36">
        <v>0</v>
      </c>
      <c r="J16" s="13">
        <v>40</v>
      </c>
      <c r="K16" s="14">
        <v>140</v>
      </c>
      <c r="L16" s="55">
        <v>200</v>
      </c>
      <c r="M16" s="56">
        <v>250</v>
      </c>
      <c r="N16" s="16">
        <v>290</v>
      </c>
      <c r="O16" s="33">
        <v>330</v>
      </c>
      <c r="P16" s="41"/>
      <c r="Q16" s="39"/>
      <c r="R16" s="39"/>
      <c r="S16" s="39"/>
    </row>
    <row r="17" spans="1:19" ht="21" customHeight="1" thickTop="1" x14ac:dyDescent="0.15">
      <c r="A17" s="31">
        <v>4</v>
      </c>
      <c r="B17" s="27">
        <v>30</v>
      </c>
      <c r="D17" s="43">
        <v>30</v>
      </c>
      <c r="E17" s="44">
        <v>3000</v>
      </c>
      <c r="F17" s="45">
        <v>1500</v>
      </c>
      <c r="H17" s="43">
        <v>30</v>
      </c>
      <c r="I17" s="8">
        <v>60</v>
      </c>
      <c r="J17" s="8">
        <v>60</v>
      </c>
      <c r="K17" s="51">
        <v>200</v>
      </c>
      <c r="L17" s="51">
        <v>200</v>
      </c>
      <c r="M17" s="52">
        <v>250</v>
      </c>
      <c r="N17" s="53">
        <v>290</v>
      </c>
      <c r="O17" s="54">
        <v>330</v>
      </c>
      <c r="P17" s="41"/>
      <c r="Q17" s="39"/>
      <c r="R17" s="39"/>
      <c r="S17" s="39"/>
    </row>
    <row r="18" spans="1:19" ht="21" customHeight="1" x14ac:dyDescent="0.15">
      <c r="A18" s="31">
        <v>5</v>
      </c>
      <c r="B18" s="27">
        <v>50</v>
      </c>
      <c r="D18" s="46">
        <v>40</v>
      </c>
      <c r="E18" s="37">
        <v>5400</v>
      </c>
      <c r="F18" s="47">
        <v>2700</v>
      </c>
      <c r="H18" s="46">
        <v>40</v>
      </c>
      <c r="I18" s="10">
        <v>60</v>
      </c>
      <c r="J18" s="10">
        <v>60</v>
      </c>
      <c r="K18" s="12">
        <v>200</v>
      </c>
      <c r="L18" s="12">
        <v>200</v>
      </c>
      <c r="M18" s="42">
        <v>250</v>
      </c>
      <c r="N18" s="15">
        <v>290</v>
      </c>
      <c r="O18" s="32">
        <v>330</v>
      </c>
      <c r="P18" s="41"/>
      <c r="Q18" s="39"/>
      <c r="R18" s="39"/>
      <c r="S18" s="39"/>
    </row>
    <row r="19" spans="1:19" ht="21" customHeight="1" thickBot="1" x14ac:dyDescent="0.2">
      <c r="A19" s="31">
        <v>6</v>
      </c>
      <c r="B19" s="27">
        <v>300</v>
      </c>
      <c r="D19" s="48">
        <v>50</v>
      </c>
      <c r="E19" s="49">
        <v>9800</v>
      </c>
      <c r="F19" s="50">
        <v>4900</v>
      </c>
      <c r="H19" s="48">
        <v>50</v>
      </c>
      <c r="I19" s="13">
        <v>60</v>
      </c>
      <c r="J19" s="13">
        <v>60</v>
      </c>
      <c r="K19" s="55">
        <v>200</v>
      </c>
      <c r="L19" s="55">
        <v>200</v>
      </c>
      <c r="M19" s="56">
        <v>250</v>
      </c>
      <c r="N19" s="16">
        <v>290</v>
      </c>
      <c r="O19" s="33">
        <v>330</v>
      </c>
      <c r="P19" s="41"/>
      <c r="Q19" s="39"/>
      <c r="R19" s="39"/>
      <c r="S19" s="39"/>
    </row>
    <row r="20" spans="1:19" ht="21" customHeight="1" thickTop="1" x14ac:dyDescent="0.15">
      <c r="A20" s="31">
        <v>7</v>
      </c>
      <c r="B20" s="27">
        <v>0</v>
      </c>
      <c r="D20" s="43">
        <v>75</v>
      </c>
      <c r="E20" s="44">
        <v>22000</v>
      </c>
      <c r="F20" s="45">
        <v>11000</v>
      </c>
      <c r="H20" s="43">
        <v>75</v>
      </c>
      <c r="I20" s="8">
        <v>60</v>
      </c>
      <c r="J20" s="8">
        <v>60</v>
      </c>
      <c r="K20" s="51">
        <v>200</v>
      </c>
      <c r="L20" s="51">
        <v>200</v>
      </c>
      <c r="M20" s="53">
        <v>290</v>
      </c>
      <c r="N20" s="53">
        <v>290</v>
      </c>
      <c r="O20" s="54">
        <v>330</v>
      </c>
      <c r="P20" s="41"/>
      <c r="Q20" s="39"/>
      <c r="R20" s="39"/>
      <c r="S20" s="39"/>
    </row>
    <row r="21" spans="1:19" ht="21" customHeight="1" x14ac:dyDescent="0.15">
      <c r="A21" s="31">
        <v>8</v>
      </c>
      <c r="B21" s="27" t="s">
        <v>36</v>
      </c>
      <c r="D21" s="46">
        <v>100</v>
      </c>
      <c r="E21" s="37">
        <v>62000</v>
      </c>
      <c r="F21" s="47">
        <v>31000</v>
      </c>
      <c r="H21" s="46">
        <v>100</v>
      </c>
      <c r="I21" s="10">
        <v>60</v>
      </c>
      <c r="J21" s="10">
        <v>60</v>
      </c>
      <c r="K21" s="12">
        <v>200</v>
      </c>
      <c r="L21" s="12">
        <v>200</v>
      </c>
      <c r="M21" s="15">
        <v>290</v>
      </c>
      <c r="N21" s="15">
        <v>290</v>
      </c>
      <c r="O21" s="32">
        <v>330</v>
      </c>
      <c r="P21" s="41"/>
      <c r="Q21" s="39"/>
      <c r="R21" s="39"/>
      <c r="S21" s="39"/>
    </row>
    <row r="22" spans="1:19" ht="21" customHeight="1" x14ac:dyDescent="0.15">
      <c r="A22" s="31">
        <v>9</v>
      </c>
      <c r="B22" s="27" t="s">
        <v>36</v>
      </c>
      <c r="D22" s="46">
        <v>150</v>
      </c>
      <c r="E22" s="37">
        <v>252000</v>
      </c>
      <c r="F22" s="47">
        <v>126000</v>
      </c>
      <c r="H22" s="46">
        <v>150</v>
      </c>
      <c r="I22" s="10">
        <v>60</v>
      </c>
      <c r="J22" s="10">
        <v>60</v>
      </c>
      <c r="K22" s="12">
        <v>200</v>
      </c>
      <c r="L22" s="12">
        <v>200</v>
      </c>
      <c r="M22" s="15">
        <v>290</v>
      </c>
      <c r="N22" s="15">
        <v>290</v>
      </c>
      <c r="O22" s="32">
        <v>330</v>
      </c>
      <c r="P22" s="41"/>
      <c r="Q22" s="39"/>
      <c r="R22" s="39"/>
      <c r="S22" s="39"/>
    </row>
    <row r="23" spans="1:19" ht="21" customHeight="1" x14ac:dyDescent="0.15">
      <c r="A23" s="31">
        <v>10</v>
      </c>
      <c r="B23" s="27" t="s">
        <v>36</v>
      </c>
      <c r="D23" s="46">
        <v>200</v>
      </c>
      <c r="E23" s="37">
        <v>560000</v>
      </c>
      <c r="F23" s="47">
        <v>280000</v>
      </c>
      <c r="H23" s="46">
        <v>200</v>
      </c>
      <c r="I23" s="10">
        <v>60</v>
      </c>
      <c r="J23" s="10">
        <v>60</v>
      </c>
      <c r="K23" s="12">
        <v>200</v>
      </c>
      <c r="L23" s="12">
        <v>200</v>
      </c>
      <c r="M23" s="15">
        <v>290</v>
      </c>
      <c r="N23" s="15">
        <v>290</v>
      </c>
      <c r="O23" s="32">
        <v>330</v>
      </c>
      <c r="P23" s="41"/>
      <c r="Q23" s="39"/>
      <c r="R23" s="39"/>
      <c r="S23" s="39"/>
    </row>
    <row r="24" spans="1:19" ht="21" customHeight="1" thickBot="1" x14ac:dyDescent="0.2">
      <c r="A24" s="31">
        <v>11</v>
      </c>
      <c r="B24" s="38" t="s">
        <v>36</v>
      </c>
      <c r="D24" s="48">
        <v>250</v>
      </c>
      <c r="E24" s="49">
        <v>1024000</v>
      </c>
      <c r="F24" s="50">
        <v>512000</v>
      </c>
      <c r="H24" s="48">
        <v>250</v>
      </c>
      <c r="I24" s="13">
        <v>60</v>
      </c>
      <c r="J24" s="13">
        <v>60</v>
      </c>
      <c r="K24" s="55">
        <v>200</v>
      </c>
      <c r="L24" s="55">
        <v>200</v>
      </c>
      <c r="M24" s="16">
        <v>290</v>
      </c>
      <c r="N24" s="16">
        <v>290</v>
      </c>
      <c r="O24" s="33">
        <v>330</v>
      </c>
      <c r="P24" s="41"/>
      <c r="Q24" s="39"/>
      <c r="R24" s="39"/>
      <c r="S24" s="39"/>
    </row>
    <row r="25" spans="1:19" ht="21" customHeight="1" thickTop="1" x14ac:dyDescent="0.15"/>
    <row r="26" spans="1:19" ht="21" customHeight="1" x14ac:dyDescent="0.15"/>
    <row r="27" spans="1:19" ht="21" customHeight="1" x14ac:dyDescent="0.15"/>
    <row r="28" spans="1:19" ht="21" customHeight="1" x14ac:dyDescent="0.15"/>
  </sheetData>
  <sheetProtection algorithmName="SHA-512" hashValue="3f8gkzocoi//aP//dzbqebJzc1K/UsCJugUKl/5xbgDiwb+anu3p3lExcOj6WPxF7yNaLVkYHzeueUuUaRmPQg==" saltValue="dE4+Eo6Z0iHNdCGwDSJL6A==" spinCount="100000" sheet="1" selectLockedCells="1"/>
  <phoneticPr fontId="1"/>
  <dataValidations count="2">
    <dataValidation type="list" imeMode="off" allowBlank="1" showInputMessage="1" showErrorMessage="1" sqref="B4" xr:uid="{00000000-0002-0000-0300-000000000000}">
      <formula1>$D$14:$D$24</formula1>
    </dataValidation>
    <dataValidation imeMode="off" allowBlank="1" showInputMessage="1" showErrorMessage="1" sqref="B5:B8 I14:S24 B14:B24 F14:F24" xr:uid="{00000000-0002-0000-0300-000001000000}"/>
  </dataValidation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8"/>
  <sheetViews>
    <sheetView topLeftCell="T1" zoomScale="85" zoomScaleNormal="85" workbookViewId="0">
      <selection sqref="A1:S1048576"/>
    </sheetView>
  </sheetViews>
  <sheetFormatPr defaultColWidth="8.375" defaultRowHeight="13.5" x14ac:dyDescent="0.15"/>
  <cols>
    <col min="1" max="1" width="8.375" style="1" hidden="1" customWidth="1"/>
    <col min="2" max="19" width="8.375" hidden="1" customWidth="1"/>
  </cols>
  <sheetData>
    <row r="1" spans="1:19" ht="21" customHeight="1" x14ac:dyDescent="0.15">
      <c r="A1" s="23" t="s">
        <v>41</v>
      </c>
    </row>
    <row r="2" spans="1:19" ht="21" customHeight="1" x14ac:dyDescent="0.15"/>
    <row r="3" spans="1:19" ht="21" customHeight="1" thickBot="1" x14ac:dyDescent="0.2">
      <c r="A3" s="18" t="s">
        <v>28</v>
      </c>
      <c r="D3" s="19" t="s">
        <v>27</v>
      </c>
      <c r="H3" s="18" t="s">
        <v>30</v>
      </c>
    </row>
    <row r="4" spans="1:19" ht="21" customHeight="1" thickTop="1" x14ac:dyDescent="0.15">
      <c r="A4" s="6" t="s">
        <v>6</v>
      </c>
      <c r="B4" s="24">
        <f>令和2年4月分計算フォーム!C3</f>
        <v>20</v>
      </c>
      <c r="D4" s="2" t="s">
        <v>0</v>
      </c>
      <c r="E4" s="3">
        <f>SUM(I9:P9)</f>
        <v>0</v>
      </c>
      <c r="H4" s="2" t="s">
        <v>10</v>
      </c>
      <c r="I4" s="17">
        <v>1</v>
      </c>
      <c r="J4" s="17">
        <v>2</v>
      </c>
      <c r="K4" s="17">
        <v>3</v>
      </c>
      <c r="L4" s="17">
        <v>4</v>
      </c>
      <c r="M4" s="17">
        <v>5</v>
      </c>
      <c r="N4" s="17">
        <v>6</v>
      </c>
      <c r="O4" s="17">
        <v>7</v>
      </c>
      <c r="P4" s="17">
        <v>8</v>
      </c>
      <c r="Q4" s="17">
        <v>9</v>
      </c>
      <c r="R4" s="17">
        <v>10</v>
      </c>
      <c r="S4" s="17">
        <v>11</v>
      </c>
    </row>
    <row r="5" spans="1:19" ht="21" customHeight="1" x14ac:dyDescent="0.15">
      <c r="A5" s="6" t="s">
        <v>7</v>
      </c>
      <c r="B5" s="27"/>
      <c r="D5" s="2" t="s">
        <v>1</v>
      </c>
      <c r="E5" s="3">
        <f>IF($B$4="",0,VLOOKUP(B4,D14:E24,2)*B6)</f>
        <v>0</v>
      </c>
      <c r="H5" s="2" t="s">
        <v>29</v>
      </c>
      <c r="I5" s="3">
        <f>IF(I6="","",B5)</f>
        <v>0</v>
      </c>
      <c r="J5" s="3" t="str">
        <f>IF(J6="","",I5-I7)</f>
        <v/>
      </c>
      <c r="K5" s="3" t="str">
        <f t="shared" ref="K5:S5" si="0">IF(K6="","",J5-J7)</f>
        <v/>
      </c>
      <c r="L5" s="3" t="str">
        <f t="shared" si="0"/>
        <v/>
      </c>
      <c r="M5" s="3" t="str">
        <f t="shared" si="0"/>
        <v/>
      </c>
      <c r="N5" s="3" t="str">
        <f t="shared" si="0"/>
        <v/>
      </c>
      <c r="O5" s="3" t="str">
        <f t="shared" si="0"/>
        <v/>
      </c>
      <c r="P5" s="3" t="str">
        <f t="shared" si="0"/>
        <v/>
      </c>
      <c r="Q5" s="3" t="str">
        <f t="shared" si="0"/>
        <v/>
      </c>
      <c r="R5" s="3" t="str">
        <f t="shared" si="0"/>
        <v/>
      </c>
      <c r="S5" s="3" t="str">
        <f t="shared" si="0"/>
        <v/>
      </c>
    </row>
    <row r="6" spans="1:19" ht="21" customHeight="1" thickBot="1" x14ac:dyDescent="0.2">
      <c r="A6" s="6" t="s">
        <v>15</v>
      </c>
      <c r="B6" s="58">
        <v>1</v>
      </c>
      <c r="D6" s="2" t="s">
        <v>2</v>
      </c>
      <c r="E6" s="20">
        <f>B8</f>
        <v>1.1000000000000001</v>
      </c>
      <c r="H6" s="61" t="s">
        <v>11</v>
      </c>
      <c r="I6" s="62">
        <f>IF(VLOOKUP(I4,$A$14:$B$24,2)=0,999999,IF(VLOOKUP(I4,$A$14:$B$24,2)="-","",(VLOOKUP(I4,$A$14:$B$24,2)*2*$B$6)))</f>
        <v>999999</v>
      </c>
      <c r="J6" s="62" t="str">
        <f>IF(VLOOKUP(J4,$A$14:$B$24,2)=0,999999,IF(VLOOKUP(J4,$A$14:$B$24,2)="-","",(VLOOKUP(J4,$A$14:$B$24,2)*2*$B$6-VLOOKUP(I4,$A$14:$B$24,2)*2*$B$6)))</f>
        <v/>
      </c>
      <c r="K6" s="62" t="str">
        <f>IF(VLOOKUP(K4,$A$14:$B$24,2)=0,999999,IF(VLOOKUP(K4,$A$14:$B$24,2)="-","",(VLOOKUP(K4,$A$14:$B$24,2)*2*$B$6-VLOOKUP(J4,$A$14:$B$24,2)*2*$B$6)))</f>
        <v/>
      </c>
      <c r="L6" s="62" t="str">
        <f t="shared" ref="L6:S6" si="1">IF(VLOOKUP(L4,$A$14:$B$24,2)=0,999999,IF(VLOOKUP(L4,$A$14:$B$24,2)="-","",(VLOOKUP(L4,$A$14:$B$24,2)*2*$B$6-VLOOKUP(K4,$A$14:$B$24,2)*2*$B$6)))</f>
        <v/>
      </c>
      <c r="M6" s="62" t="str">
        <f t="shared" si="1"/>
        <v/>
      </c>
      <c r="N6" s="62" t="str">
        <f t="shared" si="1"/>
        <v/>
      </c>
      <c r="O6" s="62" t="str">
        <f t="shared" si="1"/>
        <v/>
      </c>
      <c r="P6" s="3" t="str">
        <f t="shared" si="1"/>
        <v/>
      </c>
      <c r="Q6" s="3" t="str">
        <f t="shared" si="1"/>
        <v/>
      </c>
      <c r="R6" s="3" t="str">
        <f t="shared" si="1"/>
        <v/>
      </c>
      <c r="S6" s="3" t="str">
        <f t="shared" si="1"/>
        <v/>
      </c>
    </row>
    <row r="7" spans="1:19" ht="21" customHeight="1" thickTop="1" x14ac:dyDescent="0.15">
      <c r="A7" s="6" t="s">
        <v>14</v>
      </c>
      <c r="B7" s="25">
        <v>0</v>
      </c>
      <c r="D7" s="2" t="s">
        <v>4</v>
      </c>
      <c r="E7" s="3">
        <f>ROUNDDOWN((E4+E5)*E6,0)</f>
        <v>0</v>
      </c>
      <c r="H7" s="63" t="s">
        <v>12</v>
      </c>
      <c r="I7" s="80">
        <f>IF(I5&gt;I6,I6,I5)</f>
        <v>0</v>
      </c>
      <c r="J7" s="83" t="str">
        <f t="shared" ref="J7:S7" si="2">IF(J5&gt;J6,J6,J5)</f>
        <v/>
      </c>
      <c r="K7" s="3" t="str">
        <f t="shared" si="2"/>
        <v/>
      </c>
      <c r="L7" s="3" t="str">
        <f t="shared" si="2"/>
        <v/>
      </c>
      <c r="M7" s="3" t="str">
        <f t="shared" si="2"/>
        <v/>
      </c>
      <c r="N7" s="3" t="str">
        <f t="shared" si="2"/>
        <v/>
      </c>
      <c r="O7" s="3" t="str">
        <f t="shared" si="2"/>
        <v/>
      </c>
      <c r="P7" s="59" t="str">
        <f t="shared" si="2"/>
        <v/>
      </c>
      <c r="Q7" s="3" t="str">
        <f t="shared" si="2"/>
        <v/>
      </c>
      <c r="R7" s="3" t="str">
        <f t="shared" si="2"/>
        <v/>
      </c>
      <c r="S7" s="3" t="str">
        <f t="shared" si="2"/>
        <v/>
      </c>
    </row>
    <row r="8" spans="1:19" ht="21" customHeight="1" thickBot="1" x14ac:dyDescent="0.2">
      <c r="A8" s="7" t="s">
        <v>2</v>
      </c>
      <c r="B8" s="26">
        <v>1.1000000000000001</v>
      </c>
      <c r="D8" s="2" t="s">
        <v>5</v>
      </c>
      <c r="E8" s="21">
        <f>B7</f>
        <v>0</v>
      </c>
      <c r="H8" s="66" t="s">
        <v>13</v>
      </c>
      <c r="I8" s="81">
        <f>IF(I7="","",IF($B$4="","",VLOOKUP($B$4,$H$14:$S$24,2)))</f>
        <v>0</v>
      </c>
      <c r="J8" s="83" t="str">
        <f>IF(J7="","",IF($B$4="","",VLOOKUP($B$4,$H$14:$S$24,3)))</f>
        <v/>
      </c>
      <c r="K8" s="3" t="str">
        <f>IF(K7="","",IF($B$4="","",VLOOKUP($B$4,$H$14:$S$24,4)))</f>
        <v/>
      </c>
      <c r="L8" s="3" t="str">
        <f>IF(L7="","",IF($B$4="","",VLOOKUP($B$4,$H$14:$S$24,5)))</f>
        <v/>
      </c>
      <c r="M8" s="3" t="str">
        <f>IF(M7="","",IF($B$4="","",VLOOKUP($B$4,$H$14:$S$24,6)))</f>
        <v/>
      </c>
      <c r="N8" s="3" t="str">
        <f>IF(N7="","",IF($B$4="","",VLOOKUP($B$4,$H$14:$S$24,7)))</f>
        <v/>
      </c>
      <c r="O8" s="3" t="str">
        <f>IF(O7="","",IF($B$4="","",VLOOKUP($B$4,$H$14:$S$24,8)))</f>
        <v/>
      </c>
      <c r="P8" s="59" t="str">
        <f>IF(P7="","",IF($B$4="","",VLOOKUP($B$4,$H$14:$S$24,9)))</f>
        <v/>
      </c>
      <c r="Q8" s="3" t="str">
        <f>IF(Q7="","",IF($B$4="","",VLOOKUP($B$4,$H$14:$S$24,10)))</f>
        <v/>
      </c>
      <c r="R8" s="3" t="str">
        <f>IF(R7="","",IF($B$4="","",VLOOKUP($B$4,$H$14:$S$24,11)))</f>
        <v/>
      </c>
      <c r="S8" s="3" t="str">
        <f>IF(S7="","",IF($B$4="","",VLOOKUP($B$4,$H$14:$S$24,12)))</f>
        <v/>
      </c>
    </row>
    <row r="9" spans="1:19" ht="21" customHeight="1" thickTop="1" thickBot="1" x14ac:dyDescent="0.2">
      <c r="D9" s="4" t="s">
        <v>3</v>
      </c>
      <c r="E9" s="5">
        <f>E7-E8</f>
        <v>0</v>
      </c>
      <c r="H9" s="68" t="s">
        <v>16</v>
      </c>
      <c r="I9" s="82">
        <f>IF(I8="","",I7*I8)</f>
        <v>0</v>
      </c>
      <c r="J9" s="84" t="str">
        <f t="shared" ref="J9:S9" si="3">IF(J8="","",J7*J8)</f>
        <v/>
      </c>
      <c r="K9" s="5" t="str">
        <f t="shared" si="3"/>
        <v/>
      </c>
      <c r="L9" s="5" t="str">
        <f t="shared" si="3"/>
        <v/>
      </c>
      <c r="M9" s="5" t="str">
        <f t="shared" si="3"/>
        <v/>
      </c>
      <c r="N9" s="5" t="str">
        <f t="shared" si="3"/>
        <v/>
      </c>
      <c r="O9" s="5" t="str">
        <f t="shared" si="3"/>
        <v/>
      </c>
      <c r="P9" s="60" t="str">
        <f t="shared" si="3"/>
        <v/>
      </c>
      <c r="Q9" s="5" t="str">
        <f t="shared" si="3"/>
        <v/>
      </c>
      <c r="R9" s="5" t="str">
        <f t="shared" si="3"/>
        <v/>
      </c>
      <c r="S9" s="5" t="str">
        <f t="shared" si="3"/>
        <v/>
      </c>
    </row>
    <row r="10" spans="1:19" ht="21" customHeight="1" thickTop="1" x14ac:dyDescent="0.15"/>
    <row r="11" spans="1:19" ht="21" customHeight="1" x14ac:dyDescent="0.15"/>
    <row r="12" spans="1:19" ht="21" customHeight="1" x14ac:dyDescent="0.15">
      <c r="A12" s="18" t="s">
        <v>26</v>
      </c>
      <c r="D12" s="18" t="s">
        <v>35</v>
      </c>
      <c r="I12" s="18" t="s">
        <v>34</v>
      </c>
    </row>
    <row r="13" spans="1:19" ht="21" customHeight="1" thickBot="1" x14ac:dyDescent="0.2">
      <c r="A13" s="28" t="s">
        <v>10</v>
      </c>
      <c r="B13" s="29" t="s">
        <v>25</v>
      </c>
      <c r="D13" s="40" t="s">
        <v>6</v>
      </c>
      <c r="E13" s="40" t="s">
        <v>8</v>
      </c>
      <c r="F13" s="22" t="s">
        <v>9</v>
      </c>
      <c r="H13" s="40" t="s">
        <v>6</v>
      </c>
      <c r="I13" s="22" t="s">
        <v>38</v>
      </c>
      <c r="J13" s="22" t="s">
        <v>17</v>
      </c>
      <c r="K13" s="22" t="s">
        <v>18</v>
      </c>
      <c r="L13" s="22" t="s">
        <v>19</v>
      </c>
      <c r="M13" s="22" t="s">
        <v>20</v>
      </c>
      <c r="N13" s="22" t="s">
        <v>21</v>
      </c>
      <c r="O13" s="22" t="s">
        <v>22</v>
      </c>
      <c r="P13" s="22" t="s">
        <v>23</v>
      </c>
      <c r="Q13" s="22" t="s">
        <v>24</v>
      </c>
      <c r="R13" s="22" t="s">
        <v>31</v>
      </c>
      <c r="S13" s="22" t="s">
        <v>32</v>
      </c>
    </row>
    <row r="14" spans="1:19" ht="21" customHeight="1" thickTop="1" x14ac:dyDescent="0.15">
      <c r="A14" s="31">
        <v>1</v>
      </c>
      <c r="B14" s="30">
        <v>0</v>
      </c>
      <c r="D14" s="43">
        <v>13</v>
      </c>
      <c r="E14" s="44">
        <f>F14*2</f>
        <v>0</v>
      </c>
      <c r="F14" s="45">
        <v>0</v>
      </c>
      <c r="H14" s="43">
        <v>13</v>
      </c>
      <c r="I14" s="88">
        <v>0</v>
      </c>
      <c r="J14" s="91"/>
      <c r="K14" s="57"/>
      <c r="L14" s="57"/>
      <c r="M14" s="57"/>
      <c r="N14" s="57"/>
      <c r="O14" s="57"/>
      <c r="P14" s="41"/>
      <c r="Q14" s="57"/>
      <c r="R14" s="57"/>
      <c r="S14" s="41"/>
    </row>
    <row r="15" spans="1:19" ht="21" customHeight="1" x14ac:dyDescent="0.15">
      <c r="A15" s="31">
        <v>2</v>
      </c>
      <c r="B15" s="27" t="s">
        <v>55</v>
      </c>
      <c r="D15" s="46">
        <v>20</v>
      </c>
      <c r="E15" s="37">
        <f t="shared" ref="E15:E24" si="4">F15*2</f>
        <v>0</v>
      </c>
      <c r="F15" s="47">
        <v>0</v>
      </c>
      <c r="H15" s="46">
        <v>20</v>
      </c>
      <c r="I15" s="89">
        <v>0</v>
      </c>
      <c r="J15" s="91"/>
      <c r="K15" s="57"/>
      <c r="L15" s="57"/>
      <c r="M15" s="57"/>
      <c r="N15" s="57"/>
      <c r="O15" s="57"/>
      <c r="P15" s="41"/>
      <c r="Q15" s="57"/>
      <c r="R15" s="57"/>
      <c r="S15" s="41"/>
    </row>
    <row r="16" spans="1:19" ht="21" customHeight="1" x14ac:dyDescent="0.15">
      <c r="A16" s="31">
        <v>3</v>
      </c>
      <c r="B16" s="27" t="s">
        <v>36</v>
      </c>
      <c r="D16" s="71">
        <v>25</v>
      </c>
      <c r="E16" s="72">
        <f t="shared" si="4"/>
        <v>0</v>
      </c>
      <c r="F16" s="47">
        <v>0</v>
      </c>
      <c r="H16" s="46">
        <v>25</v>
      </c>
      <c r="I16" s="89">
        <v>0</v>
      </c>
      <c r="J16" s="91"/>
      <c r="K16" s="57"/>
      <c r="L16" s="57"/>
      <c r="M16" s="57"/>
      <c r="N16" s="57"/>
      <c r="O16" s="57"/>
      <c r="P16" s="41"/>
      <c r="Q16" s="57"/>
      <c r="R16" s="57"/>
      <c r="S16" s="41"/>
    </row>
    <row r="17" spans="1:19" ht="21" customHeight="1" x14ac:dyDescent="0.15">
      <c r="A17" s="31">
        <v>4</v>
      </c>
      <c r="B17" s="27" t="s">
        <v>56</v>
      </c>
      <c r="D17" s="46">
        <v>30</v>
      </c>
      <c r="E17" s="37">
        <f t="shared" si="4"/>
        <v>0</v>
      </c>
      <c r="F17" s="47">
        <v>0</v>
      </c>
      <c r="H17" s="46">
        <v>30</v>
      </c>
      <c r="I17" s="89">
        <v>0</v>
      </c>
      <c r="J17" s="91"/>
      <c r="K17" s="57"/>
      <c r="L17" s="57"/>
      <c r="M17" s="57"/>
      <c r="N17" s="57"/>
      <c r="O17" s="57"/>
      <c r="P17" s="41"/>
      <c r="Q17" s="57"/>
      <c r="R17" s="57"/>
      <c r="S17" s="41"/>
    </row>
    <row r="18" spans="1:19" ht="21" customHeight="1" x14ac:dyDescent="0.15">
      <c r="A18" s="31">
        <v>5</v>
      </c>
      <c r="B18" s="27" t="s">
        <v>36</v>
      </c>
      <c r="D18" s="46">
        <v>40</v>
      </c>
      <c r="E18" s="37">
        <f t="shared" si="4"/>
        <v>0</v>
      </c>
      <c r="F18" s="47">
        <v>0</v>
      </c>
      <c r="H18" s="46">
        <v>40</v>
      </c>
      <c r="I18" s="89">
        <v>0</v>
      </c>
      <c r="J18" s="91"/>
      <c r="K18" s="57"/>
      <c r="L18" s="57"/>
      <c r="M18" s="57"/>
      <c r="N18" s="57"/>
      <c r="O18" s="57"/>
      <c r="P18" s="41"/>
      <c r="Q18" s="57"/>
      <c r="R18" s="57"/>
      <c r="S18" s="41"/>
    </row>
    <row r="19" spans="1:19" ht="21" customHeight="1" x14ac:dyDescent="0.15">
      <c r="A19" s="31">
        <v>6</v>
      </c>
      <c r="B19" s="27" t="s">
        <v>36</v>
      </c>
      <c r="D19" s="46">
        <v>50</v>
      </c>
      <c r="E19" s="37">
        <f t="shared" si="4"/>
        <v>0</v>
      </c>
      <c r="F19" s="47">
        <v>0</v>
      </c>
      <c r="H19" s="46">
        <v>50</v>
      </c>
      <c r="I19" s="89">
        <v>0</v>
      </c>
      <c r="J19" s="91"/>
      <c r="K19" s="57"/>
      <c r="L19" s="57"/>
      <c r="M19" s="57"/>
      <c r="N19" s="57"/>
      <c r="O19" s="57"/>
      <c r="P19" s="41"/>
      <c r="Q19" s="57"/>
      <c r="R19" s="57"/>
      <c r="S19" s="41"/>
    </row>
    <row r="20" spans="1:19" ht="21" customHeight="1" x14ac:dyDescent="0.15">
      <c r="A20" s="31">
        <v>7</v>
      </c>
      <c r="B20" s="27" t="s">
        <v>56</v>
      </c>
      <c r="D20" s="74">
        <v>75</v>
      </c>
      <c r="E20" s="75">
        <f t="shared" si="4"/>
        <v>0</v>
      </c>
      <c r="F20" s="47">
        <v>0</v>
      </c>
      <c r="H20" s="46">
        <v>75</v>
      </c>
      <c r="I20" s="89">
        <v>0</v>
      </c>
      <c r="J20" s="91"/>
      <c r="K20" s="57"/>
      <c r="L20" s="57"/>
      <c r="M20" s="57"/>
      <c r="N20" s="57"/>
      <c r="O20" s="57"/>
      <c r="P20" s="41"/>
      <c r="Q20" s="57"/>
      <c r="R20" s="57"/>
      <c r="S20" s="41"/>
    </row>
    <row r="21" spans="1:19" ht="21" customHeight="1" x14ac:dyDescent="0.15">
      <c r="A21" s="31">
        <v>8</v>
      </c>
      <c r="B21" s="27" t="s">
        <v>36</v>
      </c>
      <c r="D21" s="46">
        <v>100</v>
      </c>
      <c r="E21" s="37">
        <f t="shared" si="4"/>
        <v>0</v>
      </c>
      <c r="F21" s="47">
        <v>0</v>
      </c>
      <c r="H21" s="46">
        <v>100</v>
      </c>
      <c r="I21" s="89">
        <v>0</v>
      </c>
      <c r="J21" s="91"/>
      <c r="K21" s="57"/>
      <c r="L21" s="57"/>
      <c r="M21" s="57"/>
      <c r="N21" s="57"/>
      <c r="O21" s="57"/>
      <c r="P21" s="41"/>
      <c r="Q21" s="57"/>
      <c r="R21" s="57"/>
      <c r="S21" s="41"/>
    </row>
    <row r="22" spans="1:19" ht="21" customHeight="1" x14ac:dyDescent="0.15">
      <c r="A22" s="31">
        <v>9</v>
      </c>
      <c r="B22" s="27" t="s">
        <v>36</v>
      </c>
      <c r="D22" s="46">
        <v>150</v>
      </c>
      <c r="E22" s="37">
        <f t="shared" si="4"/>
        <v>0</v>
      </c>
      <c r="F22" s="47">
        <v>0</v>
      </c>
      <c r="H22" s="46">
        <v>150</v>
      </c>
      <c r="I22" s="89">
        <v>0</v>
      </c>
      <c r="J22" s="91"/>
      <c r="K22" s="57"/>
      <c r="L22" s="57"/>
      <c r="M22" s="57"/>
      <c r="N22" s="57"/>
      <c r="O22" s="57"/>
      <c r="P22" s="41"/>
      <c r="Q22" s="57"/>
      <c r="R22" s="57"/>
      <c r="S22" s="41"/>
    </row>
    <row r="23" spans="1:19" ht="21" customHeight="1" x14ac:dyDescent="0.15">
      <c r="A23" s="31">
        <v>10</v>
      </c>
      <c r="B23" s="27" t="s">
        <v>56</v>
      </c>
      <c r="D23" s="46">
        <v>200</v>
      </c>
      <c r="E23" s="37">
        <f t="shared" si="4"/>
        <v>0</v>
      </c>
      <c r="F23" s="47">
        <v>0</v>
      </c>
      <c r="H23" s="46">
        <v>200</v>
      </c>
      <c r="I23" s="89">
        <v>0</v>
      </c>
      <c r="J23" s="91"/>
      <c r="K23" s="57"/>
      <c r="L23" s="57"/>
      <c r="M23" s="57"/>
      <c r="N23" s="57"/>
      <c r="O23" s="57"/>
      <c r="P23" s="41"/>
      <c r="Q23" s="57"/>
      <c r="R23" s="57"/>
      <c r="S23" s="41"/>
    </row>
    <row r="24" spans="1:19" ht="21" customHeight="1" thickBot="1" x14ac:dyDescent="0.2">
      <c r="A24" s="31">
        <v>11</v>
      </c>
      <c r="B24" s="38" t="s">
        <v>56</v>
      </c>
      <c r="D24" s="48">
        <v>250</v>
      </c>
      <c r="E24" s="49">
        <f t="shared" si="4"/>
        <v>0</v>
      </c>
      <c r="F24" s="50">
        <v>0</v>
      </c>
      <c r="H24" s="48">
        <v>250</v>
      </c>
      <c r="I24" s="90">
        <v>0</v>
      </c>
      <c r="J24" s="91"/>
      <c r="K24" s="57"/>
      <c r="L24" s="57"/>
      <c r="M24" s="57"/>
      <c r="N24" s="57"/>
      <c r="O24" s="57"/>
      <c r="P24" s="41"/>
      <c r="Q24" s="57"/>
      <c r="R24" s="57"/>
      <c r="S24" s="41"/>
    </row>
    <row r="25" spans="1:19" ht="21" customHeight="1" thickTop="1" x14ac:dyDescent="0.15"/>
    <row r="26" spans="1:19" ht="21" customHeight="1" x14ac:dyDescent="0.15"/>
    <row r="27" spans="1:19" ht="21" customHeight="1" x14ac:dyDescent="0.15"/>
    <row r="28" spans="1:19" ht="21" customHeight="1" x14ac:dyDescent="0.15"/>
  </sheetData>
  <sheetProtection algorithmName="SHA-512" hashValue="cxBQkSmks/8OJCFeGtnyMpRPyYmGRSzuMgfcU0IyGfNcWaNWiSn+it3AUfNS95ptjuxVkPLvI0bMv1jyW1tUCw==" saltValue="waRjgsdBpSnoXftOF3HKnA==" spinCount="100000" sheet="1" selectLockedCells="1"/>
  <phoneticPr fontId="1"/>
  <dataValidations count="2">
    <dataValidation imeMode="off" allowBlank="1" showInputMessage="1" showErrorMessage="1" sqref="B5:B8 B14:B24 F14:F24 I14:S24" xr:uid="{00000000-0002-0000-0400-000000000000}"/>
    <dataValidation type="list" imeMode="off" allowBlank="1" showInputMessage="1" showErrorMessage="1" sqref="B4" xr:uid="{00000000-0002-0000-0400-000001000000}">
      <formula1>$D$14:$D$24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40"/>
  <sheetViews>
    <sheetView topLeftCell="N2" workbookViewId="0">
      <selection activeCell="A2" sqref="A1:M1048576"/>
    </sheetView>
  </sheetViews>
  <sheetFormatPr defaultColWidth="9.5" defaultRowHeight="13.5" x14ac:dyDescent="0.15"/>
  <cols>
    <col min="1" max="1" width="9.5" hidden="1" customWidth="1"/>
    <col min="2" max="2" width="12.25" hidden="1" customWidth="1"/>
    <col min="3" max="3" width="15.375" hidden="1" customWidth="1"/>
    <col min="4" max="8" width="9.5" hidden="1" customWidth="1"/>
    <col min="9" max="9" width="14.625" hidden="1" customWidth="1"/>
    <col min="10" max="11" width="9.5" hidden="1" customWidth="1"/>
    <col min="12" max="13" width="16.5" hidden="1" customWidth="1"/>
  </cols>
  <sheetData>
    <row r="2" spans="2:13" x14ac:dyDescent="0.15">
      <c r="B2" t="s">
        <v>44</v>
      </c>
      <c r="E2" t="s">
        <v>47</v>
      </c>
      <c r="G2" t="s">
        <v>48</v>
      </c>
      <c r="I2" t="s">
        <v>59</v>
      </c>
      <c r="J2" s="1" t="s">
        <v>62</v>
      </c>
      <c r="K2" t="s">
        <v>45</v>
      </c>
      <c r="L2" t="s">
        <v>64</v>
      </c>
      <c r="M2" t="s">
        <v>65</v>
      </c>
    </row>
    <row r="3" spans="2:13" x14ac:dyDescent="0.15">
      <c r="B3" s="87" t="s">
        <v>71</v>
      </c>
      <c r="C3" s="87" t="str">
        <f>"令和" &amp; MID(B3,FIND("和",B3,1)+1,FIND("年",B3,1)-FIND("和",B3,1)-1) &amp; "年" &amp;MID(B3,FIND("年",B3,1)+1,FIND("月",B3,1)-FIND("年",B3,1)-1)&amp;"月"&amp;"1日"</f>
        <v>令和2年4月1日</v>
      </c>
      <c r="D3" s="92">
        <f>$G$3-C3</f>
        <v>0</v>
      </c>
      <c r="E3" t="s">
        <v>68</v>
      </c>
      <c r="G3" s="87">
        <v>43922</v>
      </c>
      <c r="I3" s="1">
        <f>IF(D15&lt;令和2年4月分計算フォーム!E2,0,IF((令和2年4月分計算フォーム!E2=0)+(令和2年4月分計算フォーム!E2=-30),1,2))</f>
        <v>1</v>
      </c>
      <c r="J3" s="1" t="s">
        <v>70</v>
      </c>
      <c r="K3" s="1" t="str">
        <f>令和2年4月分計算フォーム!C7</f>
        <v>有</v>
      </c>
      <c r="L3" s="103">
        <v>43862</v>
      </c>
      <c r="M3" s="103">
        <v>43922</v>
      </c>
    </row>
    <row r="4" spans="2:13" x14ac:dyDescent="0.15">
      <c r="B4" s="87" t="s">
        <v>72</v>
      </c>
      <c r="C4" s="87" t="str">
        <f>"令和" &amp; MID(B4,FIND("和",B4,1)+1,FIND("年",B4,1)-FIND("和",B4,1)-1) &amp; "年" &amp;MID(B4,FIND("年",B4,1)+1,FIND("月",B4,1)-FIND("年",B4,1)-1)&amp;"月"&amp;"1日"</f>
        <v>令和2年5月1日</v>
      </c>
      <c r="D4" s="92">
        <f>$G$3-C4</f>
        <v>-30</v>
      </c>
      <c r="E4" t="s">
        <v>69</v>
      </c>
      <c r="L4" s="103">
        <v>43863</v>
      </c>
      <c r="M4" s="103">
        <v>43923</v>
      </c>
    </row>
    <row r="5" spans="2:13" x14ac:dyDescent="0.15">
      <c r="B5" s="87"/>
      <c r="C5" s="87"/>
      <c r="D5" s="92"/>
      <c r="L5" s="103">
        <v>43864</v>
      </c>
      <c r="M5" s="103">
        <v>43924</v>
      </c>
    </row>
    <row r="6" spans="2:13" x14ac:dyDescent="0.15">
      <c r="B6" s="87"/>
      <c r="C6" s="87"/>
      <c r="D6" s="92"/>
      <c r="E6" t="s">
        <v>58</v>
      </c>
      <c r="G6" t="s">
        <v>60</v>
      </c>
      <c r="I6" t="s">
        <v>61</v>
      </c>
      <c r="J6" t="s">
        <v>61</v>
      </c>
      <c r="K6" t="s">
        <v>61</v>
      </c>
      <c r="L6" s="103">
        <v>43865</v>
      </c>
      <c r="M6" s="103">
        <v>43925</v>
      </c>
    </row>
    <row r="7" spans="2:13" x14ac:dyDescent="0.15">
      <c r="B7" s="87"/>
      <c r="C7" s="87"/>
      <c r="D7" s="92"/>
      <c r="E7" t="s">
        <v>53</v>
      </c>
      <c r="G7" t="s">
        <v>53</v>
      </c>
      <c r="I7" t="s">
        <v>53</v>
      </c>
      <c r="J7" t="s">
        <v>58</v>
      </c>
      <c r="K7" t="s">
        <v>60</v>
      </c>
      <c r="L7" s="103">
        <v>43866</v>
      </c>
      <c r="M7" s="103">
        <v>43926</v>
      </c>
    </row>
    <row r="8" spans="2:13" x14ac:dyDescent="0.15">
      <c r="B8" s="87"/>
      <c r="C8" s="87"/>
      <c r="D8" s="92"/>
      <c r="E8">
        <f>一般上水旧_4・5月!E7</f>
        <v>1716</v>
      </c>
      <c r="G8">
        <f>一般上水新_4・5月!E7</f>
        <v>2178</v>
      </c>
      <c r="I8">
        <f>ROUNDDOWN((J8+K8)*一般上水旧_4・5月!E6,0)</f>
        <v>1723</v>
      </c>
      <c r="J8">
        <f>ROUNDDOWN((一般上水旧_4・5月!E4+一般上水旧_4・5月!E5)*令和2年4月分計算フォーム!F4/令和2年4月分計算フォーム!F3,0)</f>
        <v>1534</v>
      </c>
      <c r="K8">
        <f>ROUNDDOWN((一般上水新_4・5月!E4+一般上水新_4・5月!E5)*令和2年4月分計算フォーム!F5/令和2年4月分計算フォーム!F3,0)</f>
        <v>33</v>
      </c>
      <c r="L8" s="103">
        <v>43867</v>
      </c>
      <c r="M8" s="103">
        <v>43927</v>
      </c>
    </row>
    <row r="9" spans="2:13" x14ac:dyDescent="0.15">
      <c r="B9" s="87"/>
      <c r="C9" s="87"/>
      <c r="D9" s="92"/>
      <c r="L9" s="103">
        <v>43868</v>
      </c>
      <c r="M9" s="103">
        <v>43928</v>
      </c>
    </row>
    <row r="10" spans="2:13" x14ac:dyDescent="0.15">
      <c r="B10" s="87"/>
      <c r="C10" s="87"/>
      <c r="D10" s="92"/>
      <c r="E10" t="s">
        <v>46</v>
      </c>
      <c r="G10" t="s">
        <v>46</v>
      </c>
      <c r="I10" t="s">
        <v>46</v>
      </c>
      <c r="L10" s="103">
        <v>43869</v>
      </c>
      <c r="M10" s="103">
        <v>43929</v>
      </c>
    </row>
    <row r="11" spans="2:13" x14ac:dyDescent="0.15">
      <c r="B11" s="87"/>
      <c r="C11" s="87"/>
      <c r="D11" s="92"/>
      <c r="E11">
        <f>IF(J3="無", 0, メーター料_4・5月!E7 )</f>
        <v>0</v>
      </c>
      <c r="I11">
        <f>ROUNDDOWN(K11*一般上水旧_4・5月!E6,0)</f>
        <v>0</v>
      </c>
      <c r="K11">
        <f>IF(J3="無",0,ROUNDDOWN(メーター料_4・5月!E5*令和2年4月分計算フォーム!F4/令和2年4月分計算フォーム!F3,0))</f>
        <v>0</v>
      </c>
      <c r="L11" s="103">
        <v>43870</v>
      </c>
      <c r="M11" s="103">
        <v>43930</v>
      </c>
    </row>
    <row r="12" spans="2:13" x14ac:dyDescent="0.15">
      <c r="B12" s="87"/>
      <c r="C12" s="87"/>
      <c r="D12" s="92"/>
      <c r="L12" s="103">
        <v>43871</v>
      </c>
      <c r="M12" s="103">
        <v>43931</v>
      </c>
    </row>
    <row r="13" spans="2:13" x14ac:dyDescent="0.15">
      <c r="B13" s="87"/>
      <c r="C13" s="87"/>
      <c r="D13" s="92"/>
      <c r="E13" t="s">
        <v>57</v>
      </c>
      <c r="G13" t="s">
        <v>57</v>
      </c>
      <c r="I13" t="s">
        <v>57</v>
      </c>
      <c r="L13" s="103">
        <v>43872</v>
      </c>
      <c r="M13" s="103">
        <v>43932</v>
      </c>
    </row>
    <row r="14" spans="2:13" x14ac:dyDescent="0.15">
      <c r="B14" s="87"/>
      <c r="C14" s="87"/>
      <c r="D14" s="92"/>
      <c r="E14">
        <f>IF(K3="無", 0, 一般下水_4・5月!E7 )</f>
        <v>1502</v>
      </c>
      <c r="G14">
        <f>IF(K3="無", 0, 一般下水_4・5月!E7 )</f>
        <v>1502</v>
      </c>
      <c r="I14">
        <f>IF(K3="無", 0, 一般下水_4・5月!E7 )</f>
        <v>1502</v>
      </c>
      <c r="L14" s="103">
        <v>43873</v>
      </c>
      <c r="M14" s="103">
        <v>43933</v>
      </c>
    </row>
    <row r="15" spans="2:13" x14ac:dyDescent="0.15">
      <c r="B15" s="87"/>
      <c r="C15" s="87"/>
      <c r="D15" s="92"/>
      <c r="L15" s="103">
        <v>43874</v>
      </c>
      <c r="M15" s="103">
        <v>43934</v>
      </c>
    </row>
    <row r="16" spans="2:13" x14ac:dyDescent="0.15">
      <c r="B16" s="87"/>
      <c r="C16" s="87"/>
      <c r="D16" s="92"/>
      <c r="L16" s="103">
        <v>43875</v>
      </c>
      <c r="M16" s="103">
        <v>43935</v>
      </c>
    </row>
    <row r="17" spans="2:13" x14ac:dyDescent="0.15">
      <c r="B17" s="87"/>
      <c r="C17" s="87"/>
      <c r="D17" s="92"/>
      <c r="L17" s="103">
        <v>43876</v>
      </c>
      <c r="M17" s="103">
        <v>43936</v>
      </c>
    </row>
    <row r="18" spans="2:13" x14ac:dyDescent="0.15">
      <c r="B18" s="87"/>
      <c r="C18" s="87"/>
      <c r="D18" s="92"/>
      <c r="L18" s="103">
        <v>43877</v>
      </c>
      <c r="M18" s="103">
        <v>43937</v>
      </c>
    </row>
    <row r="19" spans="2:13" x14ac:dyDescent="0.15">
      <c r="B19" s="87"/>
      <c r="C19" s="87"/>
      <c r="D19" s="92"/>
      <c r="L19" s="103">
        <v>43878</v>
      </c>
      <c r="M19" s="103">
        <v>43938</v>
      </c>
    </row>
    <row r="20" spans="2:13" x14ac:dyDescent="0.15">
      <c r="B20" s="87"/>
      <c r="C20" s="87"/>
      <c r="D20" s="92"/>
      <c r="L20" s="103">
        <v>43879</v>
      </c>
      <c r="M20" s="103">
        <v>43939</v>
      </c>
    </row>
    <row r="21" spans="2:13" x14ac:dyDescent="0.15">
      <c r="B21" s="87"/>
      <c r="C21" s="87"/>
      <c r="D21" s="92"/>
      <c r="L21" s="103">
        <v>43880</v>
      </c>
      <c r="M21" s="103">
        <v>43940</v>
      </c>
    </row>
    <row r="22" spans="2:13" x14ac:dyDescent="0.15">
      <c r="B22" s="87"/>
      <c r="C22" s="87"/>
      <c r="D22" s="92"/>
      <c r="L22" s="103"/>
      <c r="M22" s="103"/>
    </row>
    <row r="23" spans="2:13" x14ac:dyDescent="0.15">
      <c r="B23" s="87"/>
      <c r="C23" s="87"/>
      <c r="D23" s="92"/>
      <c r="L23" s="103"/>
      <c r="M23" s="103"/>
    </row>
    <row r="24" spans="2:13" x14ac:dyDescent="0.15">
      <c r="B24" s="87"/>
      <c r="C24" s="87"/>
      <c r="D24" s="92"/>
      <c r="L24" s="103"/>
      <c r="M24" s="103"/>
    </row>
    <row r="25" spans="2:13" x14ac:dyDescent="0.15">
      <c r="B25" s="87"/>
      <c r="C25" s="87"/>
      <c r="D25" s="92"/>
      <c r="L25" s="103"/>
      <c r="M25" s="103"/>
    </row>
    <row r="26" spans="2:13" x14ac:dyDescent="0.15">
      <c r="B26" s="87"/>
      <c r="C26" s="87"/>
      <c r="D26" s="92"/>
      <c r="L26" s="103"/>
      <c r="M26" s="103"/>
    </row>
    <row r="27" spans="2:13" x14ac:dyDescent="0.15">
      <c r="B27" s="87"/>
      <c r="C27" s="87"/>
      <c r="D27" s="92"/>
      <c r="L27" s="103"/>
      <c r="M27" s="103"/>
    </row>
    <row r="28" spans="2:13" x14ac:dyDescent="0.15">
      <c r="B28" s="87"/>
      <c r="C28" s="87"/>
      <c r="D28" s="92"/>
      <c r="L28" s="103"/>
      <c r="M28" s="103"/>
    </row>
    <row r="29" spans="2:13" x14ac:dyDescent="0.15">
      <c r="L29" s="103"/>
      <c r="M29" s="103"/>
    </row>
    <row r="30" spans="2:13" x14ac:dyDescent="0.15">
      <c r="L30" s="103"/>
      <c r="M30" s="103"/>
    </row>
    <row r="31" spans="2:13" x14ac:dyDescent="0.15">
      <c r="L31" s="103"/>
      <c r="M31" s="103"/>
    </row>
    <row r="32" spans="2:13" x14ac:dyDescent="0.15">
      <c r="L32" s="103"/>
      <c r="M32" s="103"/>
    </row>
    <row r="33" spans="12:13" x14ac:dyDescent="0.15">
      <c r="L33" s="103"/>
      <c r="M33" s="103"/>
    </row>
    <row r="34" spans="12:13" x14ac:dyDescent="0.15">
      <c r="L34" s="103"/>
      <c r="M34" s="103"/>
    </row>
    <row r="35" spans="12:13" x14ac:dyDescent="0.15">
      <c r="L35" s="103"/>
      <c r="M35" s="103"/>
    </row>
    <row r="36" spans="12:13" x14ac:dyDescent="0.15">
      <c r="L36" s="103"/>
      <c r="M36" s="103"/>
    </row>
    <row r="37" spans="12:13" x14ac:dyDescent="0.15">
      <c r="L37" s="103"/>
      <c r="M37" s="103"/>
    </row>
    <row r="38" spans="12:13" x14ac:dyDescent="0.15">
      <c r="L38" s="103"/>
      <c r="M38" s="103"/>
    </row>
    <row r="39" spans="12:13" x14ac:dyDescent="0.15">
      <c r="L39" s="103"/>
      <c r="M39" s="103"/>
    </row>
    <row r="40" spans="12:13" x14ac:dyDescent="0.15">
      <c r="L40" s="103"/>
      <c r="M40" s="103"/>
    </row>
  </sheetData>
  <sheetProtection algorithmName="SHA-512" hashValue="poHiXaTwYKR3dYv/TQ85ft0CJLKQRNTd5VHFijusc2IZaB7tE+1CARrahrLu/l93TC3/Ptl8CA/sfrUxDswGCg==" saltValue="btC6tF8isvj5Fbh89pS2+Q==" spinCount="100000" sheet="1" selectLockedCell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令和2年4月分計算フォーム</vt:lpstr>
      <vt:lpstr>一般下水_4・5月</vt:lpstr>
      <vt:lpstr>一般上水旧_4・5月</vt:lpstr>
      <vt:lpstr>一般上水新_4・5月</vt:lpstr>
      <vt:lpstr>メーター料_4・5月</vt:lpstr>
      <vt:lpstr>設定_4・5月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水道部  管理</cp:lastModifiedBy>
  <cp:lastPrinted>2020-01-20T02:40:20Z</cp:lastPrinted>
  <dcterms:created xsi:type="dcterms:W3CDTF">2014-10-17T02:56:47Z</dcterms:created>
  <dcterms:modified xsi:type="dcterms:W3CDTF">2020-05-25T02:34:14Z</dcterms:modified>
</cp:coreProperties>
</file>